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09-HOCHSCHULBILDUNG (Verknüpfung)\20-KA1-Mobilität\KA 131\01 Antragsrunde 2021\07 Berichte\01 Zwischenberichte\02a Anforderung nach 2. ZB\Formular\"/>
    </mc:Choice>
  </mc:AlternateContent>
  <xr:revisionPtr revIDLastSave="0" documentId="13_ncr:1_{96F20AB1-F66E-4249-9C52-EB5105F118EA}" xr6:coauthVersionLast="47" xr6:coauthVersionMax="47" xr10:uidLastSave="{00000000-0000-0000-0000-000000000000}"/>
  <workbookProtection workbookAlgorithmName="SHA-512" workbookHashValue="eMsqbE/clQDkgUx83WuDQYJ95ZxAaywohtUhZ4BePrlgeusRe85Hx/XDThYej+hUzg/fm0VS+ZDSimGDqL8i5g==" workbookSaltValue="+e1nqWqYTM4c1NaP+9KUxA==" workbookSpinCount="100000" lockStructure="1"/>
  <bookViews>
    <workbookView xWindow="-108" yWindow="-108" windowWidth="23256" windowHeight="12576" xr2:uid="{AE6D8478-405B-4D50-9D4A-1A8DF5EE0099}"/>
  </bookViews>
  <sheets>
    <sheet name="Erklärung" sheetId="12" r:id="rId1"/>
    <sheet name="Dateneingabe" sheetId="7" r:id="rId2"/>
    <sheet name="Ausdruck 1" sheetId="15" r:id="rId3"/>
    <sheet name="OS" sheetId="8" state="hidden" r:id="rId4"/>
    <sheet name="Daten 2021" sheetId="6" state="hidden" r:id="rId5"/>
    <sheet name="Zusammenfassung" sheetId="13" state="hidden" r:id="rId6"/>
  </sheets>
  <definedNames>
    <definedName name="_xlnm._FilterDatabase" localSheetId="4" hidden="1">'Daten 2021'!$A:$BU</definedName>
    <definedName name="_xlnm.Print_Area" localSheetId="2">'Ausdruck 1'!$B$1:$L$77</definedName>
    <definedName name="_xlnm.Print_Area" localSheetId="1">Dateneingabe!$C$2:$AB$76</definedName>
    <definedName name="E_Code" localSheetId="2">'Daten 2021'!$A$2:$A$78</definedName>
    <definedName name="E_Code">'Daten 2021'!$A$2:$A$78</definedName>
    <definedName name="n_BIP" localSheetId="2">#REF!</definedName>
    <definedName name="n_BIP">#REF!</definedName>
    <definedName name="n_OS" localSheetId="2">#REF!</definedName>
    <definedName name="n_OS">#REF!</definedName>
    <definedName name="n_SMS" localSheetId="2">#REF!</definedName>
    <definedName name="n_SMS">#REF!</definedName>
    <definedName name="n_SMT" localSheetId="2">#REF!</definedName>
    <definedName name="n_SMT">#REF!</definedName>
    <definedName name="n_STA" localSheetId="2">#REF!</definedName>
    <definedName name="n_STA">#REF!</definedName>
    <definedName name="n_STT" localSheetId="2">#REF!</definedName>
    <definedName name="n_ST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5" l="1"/>
  <c r="K41" i="15"/>
  <c r="L40" i="15"/>
  <c r="L27" i="15"/>
  <c r="J27" i="15"/>
  <c r="F75" i="7"/>
  <c r="F27" i="15" s="1"/>
  <c r="F73" i="7"/>
  <c r="E27" i="15" s="1"/>
  <c r="F47" i="7"/>
  <c r="F46" i="7"/>
  <c r="F42" i="7"/>
  <c r="F41" i="7"/>
  <c r="F36" i="7"/>
  <c r="F35" i="7"/>
  <c r="I75" i="7"/>
  <c r="I82" i="7" s="1"/>
  <c r="I73" i="7"/>
  <c r="L34" i="15" l="1"/>
  <c r="L39" i="15"/>
  <c r="L38" i="15"/>
  <c r="L37" i="15"/>
  <c r="L36" i="15"/>
  <c r="L35" i="15"/>
  <c r="L41" i="15" l="1"/>
  <c r="BT2" i="6" l="1"/>
  <c r="BT3" i="6"/>
  <c r="BT4" i="6"/>
  <c r="BT5" i="6"/>
  <c r="BT6" i="6"/>
  <c r="BT7" i="6"/>
  <c r="BT8" i="6"/>
  <c r="BT9" i="6"/>
  <c r="BT10" i="6"/>
  <c r="BT11" i="6"/>
  <c r="BT12" i="6"/>
  <c r="BT13" i="6"/>
  <c r="BT14" i="6"/>
  <c r="BT15" i="6"/>
  <c r="BT16" i="6"/>
  <c r="BT17" i="6"/>
  <c r="BT18" i="6"/>
  <c r="BT19" i="6"/>
  <c r="BT20" i="6"/>
  <c r="BT21" i="6"/>
  <c r="BT22" i="6"/>
  <c r="BT23" i="6"/>
  <c r="BT24" i="6"/>
  <c r="BT25" i="6"/>
  <c r="BT26" i="6"/>
  <c r="BT27" i="6"/>
  <c r="BT28" i="6"/>
  <c r="BT29" i="6"/>
  <c r="BT30" i="6"/>
  <c r="BT31" i="6"/>
  <c r="BT32" i="6"/>
  <c r="BT33" i="6"/>
  <c r="BT34" i="6"/>
  <c r="BT35" i="6"/>
  <c r="BT36" i="6"/>
  <c r="BT37" i="6"/>
  <c r="BT38" i="6"/>
  <c r="BT39" i="6"/>
  <c r="BT40" i="6"/>
  <c r="BT41" i="6"/>
  <c r="BT42" i="6"/>
  <c r="BT43" i="6"/>
  <c r="BT44" i="6"/>
  <c r="BT45" i="6"/>
  <c r="BT46" i="6"/>
  <c r="BT47" i="6"/>
  <c r="BT48" i="6"/>
  <c r="BT49" i="6"/>
  <c r="BT50" i="6"/>
  <c r="BT51" i="6"/>
  <c r="BT52" i="6"/>
  <c r="BT53" i="6"/>
  <c r="BT54" i="6"/>
  <c r="BT55" i="6"/>
  <c r="BT56" i="6"/>
  <c r="BT57" i="6"/>
  <c r="BT58" i="6"/>
  <c r="BT59" i="6"/>
  <c r="BT60" i="6"/>
  <c r="BT61" i="6"/>
  <c r="BT62" i="6"/>
  <c r="BT63" i="6"/>
  <c r="BT64" i="6"/>
  <c r="BT65" i="6"/>
  <c r="BT66" i="6"/>
  <c r="BT67" i="6"/>
  <c r="BT68" i="6"/>
  <c r="BT69" i="6"/>
  <c r="BT70" i="6"/>
  <c r="BT71" i="6"/>
  <c r="BT72" i="6"/>
  <c r="BT73" i="6"/>
  <c r="BT74" i="6"/>
  <c r="BT75" i="6"/>
  <c r="BT76" i="6"/>
  <c r="BT77" i="6"/>
  <c r="BT78" i="6"/>
  <c r="L3" i="15"/>
  <c r="K15" i="15"/>
  <c r="K14" i="15"/>
  <c r="K13" i="15"/>
  <c r="K12" i="15"/>
  <c r="F77" i="15"/>
  <c r="B77" i="15"/>
  <c r="G75" i="15"/>
  <c r="F75" i="15"/>
  <c r="L48" i="15"/>
  <c r="L20" i="15"/>
  <c r="F6" i="15"/>
  <c r="F4" i="15"/>
  <c r="F71" i="7"/>
  <c r="F69" i="7"/>
  <c r="F67" i="7"/>
  <c r="F25" i="15" s="1"/>
  <c r="F65" i="7"/>
  <c r="E25" i="15" s="1"/>
  <c r="F63" i="7"/>
  <c r="F24" i="15" s="1"/>
  <c r="F61" i="7"/>
  <c r="E24" i="15" s="1"/>
  <c r="F59" i="7"/>
  <c r="F23" i="15" s="1"/>
  <c r="F57" i="7"/>
  <c r="E23" i="15" s="1"/>
  <c r="F55" i="7"/>
  <c r="F53" i="7"/>
  <c r="E22" i="15" s="1"/>
  <c r="F20" i="15"/>
  <c r="E20" i="15"/>
  <c r="F19" i="15"/>
  <c r="E19" i="15"/>
  <c r="F17" i="15"/>
  <c r="E17" i="15"/>
  <c r="F28" i="7"/>
  <c r="F15" i="15" s="1"/>
  <c r="F25" i="7"/>
  <c r="E15" i="15" s="1"/>
  <c r="F23" i="7"/>
  <c r="F14" i="15" s="1"/>
  <c r="F20" i="7"/>
  <c r="E14" i="15" s="1"/>
  <c r="F13" i="7"/>
  <c r="F13" i="15" s="1"/>
  <c r="F10" i="7"/>
  <c r="E13" i="15" s="1"/>
  <c r="F8" i="7"/>
  <c r="F12" i="15" s="1"/>
  <c r="F5" i="7"/>
  <c r="E12" i="15" s="1"/>
  <c r="L47" i="7"/>
  <c r="L42" i="7"/>
  <c r="FG2" i="13"/>
  <c r="FF2" i="13"/>
  <c r="FE2" i="13"/>
  <c r="FD2" i="13"/>
  <c r="FC2" i="13"/>
  <c r="EZ2" i="13"/>
  <c r="EY2" i="13"/>
  <c r="EX2" i="13"/>
  <c r="EG2" i="13"/>
  <c r="EF2" i="13"/>
  <c r="EE2" i="13"/>
  <c r="ED2" i="13"/>
  <c r="EC2" i="13"/>
  <c r="DX2" i="13"/>
  <c r="DW2" i="13"/>
  <c r="DV2" i="13"/>
  <c r="DU2" i="13"/>
  <c r="DT2" i="13"/>
  <c r="DO2" i="13"/>
  <c r="DN2" i="13"/>
  <c r="DM2" i="13"/>
  <c r="DL2" i="13"/>
  <c r="DK2" i="13"/>
  <c r="DF2" i="13"/>
  <c r="DE2" i="13"/>
  <c r="DD2" i="13"/>
  <c r="DC2" i="13"/>
  <c r="DB2" i="13"/>
  <c r="CS2" i="13"/>
  <c r="CW2" i="13"/>
  <c r="CV2" i="13"/>
  <c r="CU2" i="13"/>
  <c r="CT2" i="13"/>
  <c r="CK2" i="13"/>
  <c r="CG2" i="13"/>
  <c r="CC2" i="13"/>
  <c r="CB2" i="13"/>
  <c r="CA2" i="13"/>
  <c r="BZ2" i="13"/>
  <c r="BV2" i="13"/>
  <c r="BU2" i="13"/>
  <c r="BN2" i="13"/>
  <c r="BM2" i="13"/>
  <c r="BL2" i="13"/>
  <c r="BK2" i="13"/>
  <c r="BJ2" i="13"/>
  <c r="BI2" i="13"/>
  <c r="BH2" i="13"/>
  <c r="BG2" i="13"/>
  <c r="BA2" i="13"/>
  <c r="AZ2" i="13"/>
  <c r="AU2" i="13"/>
  <c r="AT2" i="13"/>
  <c r="AS2" i="13"/>
  <c r="AR2" i="13"/>
  <c r="AQ2" i="13"/>
  <c r="AP2" i="13"/>
  <c r="AO2" i="13"/>
  <c r="AN2" i="13"/>
  <c r="AF2" i="13"/>
  <c r="AE2" i="13"/>
  <c r="AB2" i="13"/>
  <c r="AA2" i="13"/>
  <c r="Z2" i="13"/>
  <c r="Y2" i="13"/>
  <c r="X2" i="13"/>
  <c r="W2" i="13"/>
  <c r="V2" i="13"/>
  <c r="U2" i="13"/>
  <c r="K2" i="13"/>
  <c r="J2" i="13"/>
  <c r="I2" i="13"/>
  <c r="H2" i="13"/>
  <c r="G2" i="13"/>
  <c r="F2" i="13"/>
  <c r="E2" i="13"/>
  <c r="D2" i="13"/>
  <c r="C2" i="13"/>
  <c r="B2" i="13"/>
  <c r="A2" i="13"/>
  <c r="E26" i="15" l="1"/>
  <c r="F26" i="15"/>
  <c r="F22" i="15"/>
  <c r="F82" i="7"/>
  <c r="L50" i="15"/>
  <c r="L52" i="15" s="1"/>
  <c r="I36" i="7"/>
  <c r="L17" i="15" s="1"/>
  <c r="W70" i="7"/>
  <c r="W66" i="7"/>
  <c r="W62" i="7"/>
  <c r="W58" i="7"/>
  <c r="W54" i="7"/>
  <c r="V47" i="7"/>
  <c r="U42" i="7"/>
  <c r="I26" i="7"/>
  <c r="I21" i="7"/>
  <c r="I11" i="7"/>
  <c r="I6" i="7"/>
  <c r="F29" i="15" l="1"/>
  <c r="FA2" i="13"/>
  <c r="EV2" i="13" l="1"/>
  <c r="EW2" i="13" l="1"/>
  <c r="FB2" i="13" l="1"/>
  <c r="S13" i="7"/>
  <c r="AI2" i="13" s="1"/>
  <c r="T31" i="7"/>
  <c r="P16" i="7"/>
  <c r="W28" i="7"/>
  <c r="BY2" i="13" s="1"/>
  <c r="W23" i="7"/>
  <c r="BF2" i="13" s="1"/>
  <c r="W13" i="7"/>
  <c r="AM2" i="13" s="1"/>
  <c r="W8" i="7"/>
  <c r="T2" i="13" s="1"/>
  <c r="T71" i="7"/>
  <c r="EK2" i="13" s="1"/>
  <c r="R71" i="7"/>
  <c r="EJ2" i="13" s="1"/>
  <c r="P71" i="7"/>
  <c r="EI2" i="13" s="1"/>
  <c r="N71" i="7"/>
  <c r="EH2" i="13" s="1"/>
  <c r="T67" i="7"/>
  <c r="EB2" i="13" s="1"/>
  <c r="R67" i="7"/>
  <c r="EA2" i="13" s="1"/>
  <c r="P67" i="7"/>
  <c r="DZ2" i="13" s="1"/>
  <c r="N67" i="7"/>
  <c r="T63" i="7"/>
  <c r="DS2" i="13" s="1"/>
  <c r="R63" i="7"/>
  <c r="DR2" i="13" s="1"/>
  <c r="P63" i="7"/>
  <c r="N63" i="7"/>
  <c r="DP2" i="13" s="1"/>
  <c r="T59" i="7"/>
  <c r="DJ2" i="13" s="1"/>
  <c r="R59" i="7"/>
  <c r="DI2" i="13" s="1"/>
  <c r="P59" i="7"/>
  <c r="N59" i="7"/>
  <c r="DG2" i="13" s="1"/>
  <c r="T55" i="7"/>
  <c r="R55" i="7"/>
  <c r="CZ2" i="13" s="1"/>
  <c r="P55" i="7"/>
  <c r="CY2" i="13" s="1"/>
  <c r="N55" i="7"/>
  <c r="CX2" i="13" s="1"/>
  <c r="I71" i="7"/>
  <c r="L26" i="15" s="1"/>
  <c r="I69" i="7"/>
  <c r="J26" i="15" s="1"/>
  <c r="I67" i="7"/>
  <c r="L25" i="15" s="1"/>
  <c r="I65" i="7"/>
  <c r="J25" i="15" s="1"/>
  <c r="I63" i="7"/>
  <c r="L24" i="15" s="1"/>
  <c r="I61" i="7"/>
  <c r="J24" i="15" s="1"/>
  <c r="I59" i="7"/>
  <c r="L23" i="15" s="1"/>
  <c r="I57" i="7"/>
  <c r="J23" i="15" s="1"/>
  <c r="I55" i="7"/>
  <c r="L22" i="15" s="1"/>
  <c r="I53" i="7"/>
  <c r="J22" i="15" s="1"/>
  <c r="V28" i="7"/>
  <c r="BX2" i="13" s="1"/>
  <c r="V23" i="7"/>
  <c r="BE2" i="13" s="1"/>
  <c r="V8" i="7"/>
  <c r="S2" i="13" s="1"/>
  <c r="V13" i="7"/>
  <c r="AL2" i="13" s="1"/>
  <c r="T48" i="7"/>
  <c r="CR2" i="13" s="1"/>
  <c r="R48" i="7"/>
  <c r="CQ2" i="13" s="1"/>
  <c r="P48" i="7"/>
  <c r="CP2" i="13" s="1"/>
  <c r="N48" i="7"/>
  <c r="H31" i="7"/>
  <c r="G31" i="7"/>
  <c r="H30" i="7"/>
  <c r="G30" i="7"/>
  <c r="T43" i="7"/>
  <c r="R43" i="7"/>
  <c r="P43" i="7"/>
  <c r="CI2" i="13" s="1"/>
  <c r="N43" i="7"/>
  <c r="R28" i="7"/>
  <c r="BT2" i="13" s="1"/>
  <c r="P28" i="7"/>
  <c r="BR2" i="13" s="1"/>
  <c r="N28" i="7"/>
  <c r="BP2" i="13" s="1"/>
  <c r="T23" i="7"/>
  <c r="BC2" i="13" s="1"/>
  <c r="P23" i="7"/>
  <c r="AY2" i="13" s="1"/>
  <c r="N23" i="7"/>
  <c r="AW2" i="13" s="1"/>
  <c r="T13" i="7"/>
  <c r="AJ2" i="13" s="1"/>
  <c r="R13" i="7"/>
  <c r="AH2" i="13" s="1"/>
  <c r="N13" i="7"/>
  <c r="AD2" i="13" s="1"/>
  <c r="T8" i="7"/>
  <c r="R8" i="7"/>
  <c r="O2" i="13" s="1"/>
  <c r="P8" i="7"/>
  <c r="M2" i="13" s="1"/>
  <c r="G15" i="7"/>
  <c r="H15" i="7"/>
  <c r="G16" i="7"/>
  <c r="H16" i="7"/>
  <c r="Q28" i="7"/>
  <c r="BS2" i="13" s="1"/>
  <c r="O28" i="7"/>
  <c r="BQ2" i="13" s="1"/>
  <c r="M28" i="7"/>
  <c r="S23" i="7"/>
  <c r="O23" i="7"/>
  <c r="AX2" i="13" s="1"/>
  <c r="M23" i="7"/>
  <c r="AV2" i="13" s="1"/>
  <c r="Q13" i="7"/>
  <c r="AG2" i="13" s="1"/>
  <c r="M13" i="7"/>
  <c r="U28" i="7"/>
  <c r="BW2" i="13" s="1"/>
  <c r="U23" i="7"/>
  <c r="BD2" i="13" s="1"/>
  <c r="U13" i="7"/>
  <c r="AK2" i="13" s="1"/>
  <c r="U8" i="7"/>
  <c r="R2" i="13" s="1"/>
  <c r="S8" i="7"/>
  <c r="P2" i="13" s="1"/>
  <c r="Q8" i="7"/>
  <c r="N2" i="13" s="1"/>
  <c r="O8" i="7"/>
  <c r="L2" i="13" s="1"/>
  <c r="I35" i="7"/>
  <c r="J17" i="15" s="1"/>
  <c r="H46" i="7"/>
  <c r="CM2" i="13" s="1"/>
  <c r="G46" i="7"/>
  <c r="CL2" i="13" s="1"/>
  <c r="B4" i="8"/>
  <c r="B5" i="8"/>
  <c r="B6" i="8"/>
  <c r="B7" i="8"/>
  <c r="A10" i="8"/>
  <c r="B10" i="8"/>
  <c r="A11" i="8"/>
  <c r="B11" i="8"/>
  <c r="D13" i="8"/>
  <c r="B14" i="8"/>
  <c r="I28" i="7"/>
  <c r="I27" i="7"/>
  <c r="I25" i="7"/>
  <c r="I23" i="7"/>
  <c r="L14" i="15" s="1"/>
  <c r="I22" i="7"/>
  <c r="I20" i="7"/>
  <c r="J14" i="15" s="1"/>
  <c r="I13" i="7"/>
  <c r="L13" i="15" s="1"/>
  <c r="I12" i="7"/>
  <c r="I10" i="7"/>
  <c r="I7" i="7"/>
  <c r="I8" i="7"/>
  <c r="L12" i="15" s="1"/>
  <c r="I5" i="7"/>
  <c r="J12" i="15" s="1"/>
  <c r="H41" i="7"/>
  <c r="CE2" i="13" s="1"/>
  <c r="G41" i="7"/>
  <c r="CD2" i="13" s="1"/>
  <c r="E12" i="8"/>
  <c r="C7" i="8"/>
  <c r="C6" i="8"/>
  <c r="C5" i="8"/>
  <c r="C4" i="8"/>
  <c r="K67" i="7" l="1"/>
  <c r="L66" i="7" s="1"/>
  <c r="K28" i="7"/>
  <c r="L27" i="7" s="1"/>
  <c r="L15" i="15"/>
  <c r="C20" i="8"/>
  <c r="J15" i="15"/>
  <c r="C18" i="8"/>
  <c r="J13" i="15"/>
  <c r="K63" i="7"/>
  <c r="L62" i="7" s="1"/>
  <c r="CH2" i="13"/>
  <c r="X44" i="7"/>
  <c r="I44" i="7" s="1"/>
  <c r="C17" i="8"/>
  <c r="C19" i="8"/>
  <c r="K71" i="7"/>
  <c r="L70" i="7" s="1"/>
  <c r="K23" i="7"/>
  <c r="L22" i="7" s="1"/>
  <c r="K13" i="7"/>
  <c r="L12" i="7" s="1"/>
  <c r="K8" i="7"/>
  <c r="L7" i="7" s="1"/>
  <c r="K59" i="7"/>
  <c r="L58" i="7" s="1"/>
  <c r="K55" i="7"/>
  <c r="L54" i="7" s="1"/>
  <c r="X49" i="7"/>
  <c r="I49" i="7" s="1"/>
  <c r="DY2" i="13"/>
  <c r="CO2" i="13"/>
  <c r="DQ2" i="13"/>
  <c r="DH2" i="13"/>
  <c r="DA2" i="13"/>
  <c r="CJ2" i="13"/>
  <c r="BB2" i="13"/>
  <c r="AC2" i="13"/>
  <c r="I33" i="7"/>
  <c r="BO2" i="13"/>
  <c r="Q2" i="13"/>
  <c r="F33" i="7"/>
  <c r="F81" i="7"/>
  <c r="I79" i="7"/>
  <c r="Y5" i="7"/>
  <c r="Y10" i="7"/>
  <c r="Y20" i="7"/>
  <c r="Y25" i="7"/>
  <c r="I80" i="7"/>
  <c r="F80" i="7"/>
  <c r="X23" i="7"/>
  <c r="X8" i="7"/>
  <c r="X13" i="7"/>
  <c r="Y13" i="7" s="1"/>
  <c r="X28" i="7"/>
  <c r="Y28" i="7" s="1"/>
  <c r="X67" i="7"/>
  <c r="Y67" i="7" s="1"/>
  <c r="AA65" i="7" s="1"/>
  <c r="F79" i="7"/>
  <c r="X55" i="7"/>
  <c r="Y55" i="7" s="1"/>
  <c r="AA53" i="7" s="1"/>
  <c r="X59" i="7"/>
  <c r="Y59" i="7" s="1"/>
  <c r="AA57" i="7" s="1"/>
  <c r="X63" i="7"/>
  <c r="Y63" i="7" s="1"/>
  <c r="AA61" i="7" s="1"/>
  <c r="X71" i="7"/>
  <c r="Y71" i="7" s="1"/>
  <c r="F31" i="7"/>
  <c r="I16" i="7"/>
  <c r="I31" i="7"/>
  <c r="P31" i="7"/>
  <c r="F30" i="7"/>
  <c r="I30" i="7"/>
  <c r="T16" i="7"/>
  <c r="I15" i="7"/>
  <c r="F15" i="7"/>
  <c r="F16" i="7"/>
  <c r="I46" i="7"/>
  <c r="C8" i="8"/>
  <c r="I41" i="7"/>
  <c r="J19" i="15" s="1"/>
  <c r="I47" i="7" l="1"/>
  <c r="AA46" i="7" s="1"/>
  <c r="J20" i="15"/>
  <c r="I81" i="7"/>
  <c r="L19" i="15"/>
  <c r="L29" i="15" s="1"/>
  <c r="C21" i="8"/>
  <c r="AA69" i="7"/>
  <c r="Y15" i="7"/>
  <c r="S16" i="7"/>
  <c r="Y23" i="7"/>
  <c r="AA20" i="7" s="1"/>
  <c r="X33" i="7"/>
  <c r="Y8" i="7"/>
  <c r="Z5" i="7" s="1"/>
  <c r="X83" i="7"/>
  <c r="Y30" i="7"/>
  <c r="AA10" i="7"/>
  <c r="AA25" i="7"/>
  <c r="Z25" i="7"/>
  <c r="Z10" i="7"/>
  <c r="F83" i="7"/>
  <c r="X31" i="7"/>
  <c r="Y31" i="7" s="1"/>
  <c r="AA30" i="7" s="1"/>
  <c r="X16" i="7"/>
  <c r="Y16" i="7" s="1"/>
  <c r="AA15" i="7" s="1"/>
  <c r="C10" i="8"/>
  <c r="C11" i="8"/>
  <c r="D11" i="8" s="1"/>
  <c r="CN2" i="13" l="1"/>
  <c r="EN2" i="13"/>
  <c r="ER2" i="13"/>
  <c r="Y49" i="7"/>
  <c r="Z20" i="7"/>
  <c r="AA5" i="7"/>
  <c r="Y33" i="7"/>
  <c r="Z15" i="7"/>
  <c r="Z30" i="7"/>
  <c r="D10" i="8"/>
  <c r="D12" i="8" s="1"/>
  <c r="D14" i="8" s="1"/>
  <c r="C12" i="8"/>
  <c r="C14" i="8" s="1"/>
  <c r="C23" i="8" s="1"/>
  <c r="H42" i="7" l="1"/>
  <c r="EP2" i="13"/>
  <c r="EL2" i="13"/>
  <c r="C25" i="8"/>
  <c r="C28" i="8" s="1"/>
  <c r="D28" i="8" s="1"/>
  <c r="C27" i="8" l="1"/>
  <c r="C29" i="8" s="1"/>
  <c r="D27" i="8" l="1"/>
  <c r="D31" i="8" s="1"/>
  <c r="I83" i="7" l="1"/>
  <c r="I42" i="7"/>
  <c r="D29" i="8"/>
  <c r="Y44" i="7" l="1"/>
  <c r="Y83" i="7" s="1"/>
  <c r="CF2" i="13"/>
  <c r="Y42" i="7"/>
  <c r="AA41" i="7"/>
  <c r="ET2" i="13" l="1"/>
  <c r="EM2" i="13" l="1"/>
  <c r="EQ2" i="13"/>
  <c r="ES2" i="13"/>
  <c r="EO2" i="13"/>
  <c r="EU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Harringer, Elmar</author>
  </authors>
  <commentList>
    <comment ref="I8" authorId="0" shapeId="0" xr:uid="{86031822-4153-4A3C-ADCD-7D1D667304BA}">
      <text>
        <r>
          <rPr>
            <b/>
            <sz val="9"/>
            <color indexed="81"/>
            <rFont val="Segoe UI"/>
            <family val="2"/>
          </rPr>
          <t>Bitte geben Sie ein Datum an.</t>
        </r>
      </text>
    </comment>
    <comment ref="I32" authorId="0" shapeId="0" xr:uid="{42AC2ED8-CC03-4776-8B9C-C2470961C617}">
      <text>
        <r>
          <rPr>
            <b/>
            <sz val="9"/>
            <color indexed="81"/>
            <rFont val="Segoe UI"/>
            <family val="2"/>
          </rPr>
          <t>Bitte geben Sie ein Datum an.</t>
        </r>
      </text>
    </comment>
    <comment ref="K36" authorId="0" shapeId="0" xr:uid="{791657E8-C90D-4EE3-A796-C5F72909C843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  <comment ref="K37" authorId="0" shapeId="0" xr:uid="{3342A66D-3EBD-43C2-B05E-FF6145DF2438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  <comment ref="K38" authorId="0" shapeId="0" xr:uid="{65895B75-1959-433F-9B74-50CD0BFFD26D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  <comment ref="K39" authorId="0" shapeId="0" xr:uid="{34F330F6-5821-47C7-B2A1-88CD8515CF60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  <comment ref="K40" authorId="0" shapeId="0" xr:uid="{4D0F492C-FC2C-435C-AFCC-79ECA0D35133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Harringer, Elmar</author>
  </authors>
  <commentList>
    <comment ref="E12" authorId="0" shapeId="0" xr:uid="{BB343927-ACE9-4194-B51A-6CC55A759DD4}">
      <text>
        <r>
          <rPr>
            <b/>
            <sz val="9"/>
            <color indexed="81"/>
            <rFont val="Segoe UI"/>
            <family val="2"/>
          </rPr>
          <t>Harringer, Elmar:</t>
        </r>
        <r>
          <rPr>
            <sz val="9"/>
            <color indexed="81"/>
            <rFont val="Segoe UI"/>
            <family val="2"/>
          </rPr>
          <t xml:space="preserve">
Kontrolle aus Vertragsdaten</t>
        </r>
      </text>
    </comment>
  </commentList>
</comments>
</file>

<file path=xl/sharedStrings.xml><?xml version="1.0" encoding="utf-8"?>
<sst xmlns="http://schemas.openxmlformats.org/spreadsheetml/2006/main" count="1290" uniqueCount="825">
  <si>
    <t xml:space="preserve">     Hochschule:</t>
  </si>
  <si>
    <t>Gesamt</t>
  </si>
  <si>
    <t>STA</t>
  </si>
  <si>
    <t>STT</t>
  </si>
  <si>
    <t>Fachhochschule Salzburg GmbH</t>
  </si>
  <si>
    <t>Bitte nur die gelb hinterlegten Felder ausfüllen!</t>
  </si>
  <si>
    <t>Pädagogische Hochschule Vorarlberg</t>
  </si>
  <si>
    <t>Pädagogische Hochschule Tirol</t>
  </si>
  <si>
    <t>FH Gesundheitsberufe OÖ GmbH</t>
  </si>
  <si>
    <t>Privatuniversität Schloss Seeburg</t>
  </si>
  <si>
    <t>Fachhochschule Technikum Wien</t>
  </si>
  <si>
    <t>Lauder Business School</t>
  </si>
  <si>
    <t>Theresianische Militärakademie Fachhochschul-Bachelorstudiengang Militärische Führung</t>
  </si>
  <si>
    <t>A  BADEN01</t>
  </si>
  <si>
    <t>A  DORNBIR01</t>
  </si>
  <si>
    <t>A  EISENST01</t>
  </si>
  <si>
    <t>A  EISENST02</t>
  </si>
  <si>
    <t>A  EISENST05</t>
  </si>
  <si>
    <t>A  FELDKIR01</t>
  </si>
  <si>
    <t>A  GRAZ01</t>
  </si>
  <si>
    <t>A  GRAZ02</t>
  </si>
  <si>
    <t>A  GRAZ03</t>
  </si>
  <si>
    <t>A  GRAZ04</t>
  </si>
  <si>
    <t>A  GRAZ08</t>
  </si>
  <si>
    <t>A  GRAZ09</t>
  </si>
  <si>
    <t>A  GRAZ10</t>
  </si>
  <si>
    <t>A  GRAZ23</t>
  </si>
  <si>
    <t>A  INNSBRU01</t>
  </si>
  <si>
    <t>A  INNSBRU03</t>
  </si>
  <si>
    <t>A  INNSBRU08</t>
  </si>
  <si>
    <t>A  INNSBRU09</t>
  </si>
  <si>
    <t>A  INNSBRU20</t>
  </si>
  <si>
    <t>A  INNSBRU21</t>
  </si>
  <si>
    <t>A  INNSBRU23</t>
  </si>
  <si>
    <t>A  KLAGENF01</t>
  </si>
  <si>
    <t>A  KLAGENF02</t>
  </si>
  <si>
    <t>A  KLAGENF06</t>
  </si>
  <si>
    <t>A  KREMS03</t>
  </si>
  <si>
    <t>A  KREMS05</t>
  </si>
  <si>
    <t>A  KUFSTEI01</t>
  </si>
  <si>
    <t>A  LEOBEN01</t>
  </si>
  <si>
    <t>A  LINZ01</t>
  </si>
  <si>
    <t>A  LINZ02</t>
  </si>
  <si>
    <t>A  LINZ03</t>
  </si>
  <si>
    <t>A  LINZ04</t>
  </si>
  <si>
    <t>A  LINZ11</t>
  </si>
  <si>
    <t>A  LINZ17</t>
  </si>
  <si>
    <t>A  LINZ23</t>
  </si>
  <si>
    <t>A  SALZBUR01</t>
  </si>
  <si>
    <t>A  SALZBUR02</t>
  </si>
  <si>
    <t>A  SALZBUR08</t>
  </si>
  <si>
    <t>A  SALZBUR18</t>
  </si>
  <si>
    <t>A  SPITTAL01</t>
  </si>
  <si>
    <t>A  ST-POLT03</t>
  </si>
  <si>
    <t>A  ST-POLT10</t>
  </si>
  <si>
    <t>A  WELS01</t>
  </si>
  <si>
    <t>A  WIEN01</t>
  </si>
  <si>
    <t>A  WIEN02</t>
  </si>
  <si>
    <t>A  WIEN03</t>
  </si>
  <si>
    <t>A  WIEN04</t>
  </si>
  <si>
    <t>A  WIEN05</t>
  </si>
  <si>
    <t>A  WIEN06</t>
  </si>
  <si>
    <t>A  WIEN07</t>
  </si>
  <si>
    <t>A  WIEN08</t>
  </si>
  <si>
    <t>A  WIEN09</t>
  </si>
  <si>
    <t>A  WIEN10</t>
  </si>
  <si>
    <t>A  WIEN15</t>
  </si>
  <si>
    <t>A  WIEN20</t>
  </si>
  <si>
    <t>A  WIEN21</t>
  </si>
  <si>
    <t>A  WIEN38</t>
  </si>
  <si>
    <t>A  WIEN52</t>
  </si>
  <si>
    <t>A  WIEN63</t>
  </si>
  <si>
    <t>A  WIEN64</t>
  </si>
  <si>
    <t>A  WIEN66</t>
  </si>
  <si>
    <t>A  WIEN68</t>
  </si>
  <si>
    <t>A  WIEN70</t>
  </si>
  <si>
    <t>A  WIENER01</t>
  </si>
  <si>
    <t>A  WIENER04</t>
  </si>
  <si>
    <t>ProjectCode</t>
  </si>
  <si>
    <t>PAEDAGOGISCHE HOCHSCHULE NIEDERÖSTERREICH</t>
  </si>
  <si>
    <t>FACHHOCHSCHULE VORARLBERG GMBH</t>
  </si>
  <si>
    <t>STIFTUNG PRIVATE PÄDAGOGISCHE HOCHSCHULE BURGENLAND</t>
  </si>
  <si>
    <t>UNIVERSITAET GRAZ</t>
  </si>
  <si>
    <t>TECHNISCHE UNIVERSITAET GRAZ</t>
  </si>
  <si>
    <t>UNIVERSITAT FUR MUSIK UND DARSTELLENDE KUNST GRAZ (KUG)</t>
  </si>
  <si>
    <t>University College of Teacher Education Styria</t>
  </si>
  <si>
    <t>CAMPUS 02 FACHHOCHSCHULE DER WIRTSCHAFT GMBH</t>
  </si>
  <si>
    <t>MEDIZINISCHE UNIVERSITAT GRAZ</t>
  </si>
  <si>
    <t>UNIVERSITAET INNSBRUCK</t>
  </si>
  <si>
    <t>MCI MANAGEMENT CENTER INNSBRUCK INTERNATIONALE HOCHSCHULE GMBH</t>
  </si>
  <si>
    <t>Private Pädagogische Hochschule - Hochschulstiftung der Diözese Innsbruck</t>
  </si>
  <si>
    <t>MEDIZINISCHE UNIVERSITAT INNSBRUCK</t>
  </si>
  <si>
    <t>FHG - ZENTRUM FUER GESUNDHEITSBERUFE TIROL GMBH</t>
  </si>
  <si>
    <t>UNIVERSITAET KLAGENFURT</t>
  </si>
  <si>
    <t>Pädagogische Hochschule Kärnten</t>
  </si>
  <si>
    <t>FHS KUFSTEIN TIROL BILDUNGS GMBH</t>
  </si>
  <si>
    <t>UNIVERSITAT LINZ</t>
  </si>
  <si>
    <t>PARIS-LODRON-UNIVERSITAT SALZBURG</t>
  </si>
  <si>
    <t>FACHHOCHSCHULE ST POELTEN GMBH</t>
  </si>
  <si>
    <t>FH OO STUDIENBETRIEBS GMBH</t>
  </si>
  <si>
    <t>TECHNISCHE UNIVERSITAET WIEN</t>
  </si>
  <si>
    <t>UNIVERSITAET FUER BODENKULTUR WIEN</t>
  </si>
  <si>
    <t>VETERINAERMEDIZINISCHE UNIVERSITAET WIEN</t>
  </si>
  <si>
    <t>WIRTSCHAFTSUNIVERSITAT WIEN</t>
  </si>
  <si>
    <t>AKADEMIE DER BILDENDEN KUNSTE WIEN</t>
  </si>
  <si>
    <t>UNIVERSITAT FUR ANGEWANDTE KUNST WIEN</t>
  </si>
  <si>
    <t>FACHHOCHSCHULE DES BFI WIEN GESELLSCHAFT M.B.H.</t>
  </si>
  <si>
    <t>FH-CAMPUS WIEN - VEREIN ZUR FORDERUNG DES FACHHOCHSCHUL-, ENTWICKLUNGS- UND FORSCHUNGSZENTRUMS IM SUDEN WIENS</t>
  </si>
  <si>
    <t>MEDIZINISCHE UNIVERSITAET WIEN</t>
  </si>
  <si>
    <t>MODUL UNIVERSITY VIENNA GMBH</t>
  </si>
  <si>
    <t>€</t>
  </si>
  <si>
    <t>Summe</t>
  </si>
  <si>
    <t>FACHHOCHSCHULE BURGENLAND GMBH</t>
  </si>
  <si>
    <t>IMC FACHHOCHSCHULE KREMS GMBH</t>
  </si>
  <si>
    <t>UNIVERSITAT MOZARTEUM SALZBURG</t>
  </si>
  <si>
    <t>UNIVERSITAT WIEN</t>
  </si>
  <si>
    <t>Musik und Kunst Privatuniversität der Stadt Wien GmbH</t>
  </si>
  <si>
    <t>A  KLOSTER01</t>
  </si>
  <si>
    <t>A  WIEN74</t>
  </si>
  <si>
    <t>FH JOANNEUM GESELLSCHAFT MBH</t>
  </si>
  <si>
    <t>UNIVERSITAT FUR WEITERBILDUNG KREMS</t>
  </si>
  <si>
    <t>UNIVERSITAT FUR KUNSTLERISCHE UND INDUSTRIELLE GESTALTUNG LINZ</t>
  </si>
  <si>
    <t>PRIVATE PADAGOGISCHE HOCHSCHULE DER DIOZESE LINZ</t>
  </si>
  <si>
    <t>ANTON BRUCKNER PRIVATUNIVERSITAT</t>
  </si>
  <si>
    <t>NEW DESIGN UNIVERSITY PRIVATUNIVERSITAT GESMBH</t>
  </si>
  <si>
    <t>UNIVERSITAT FUR MUSIK UND DARSTELLENDE KUNST WIEN</t>
  </si>
  <si>
    <t>SIGMUND FREUD PRIVATUNIVERSITAT WIEN GMBH</t>
  </si>
  <si>
    <t>FACHHOCHSCHULE WIENER NEUSTADT GMBH</t>
  </si>
  <si>
    <t>A  FELDKIR03</t>
  </si>
  <si>
    <t>A  KREMS06</t>
  </si>
  <si>
    <t>A  WIEN75</t>
  </si>
  <si>
    <t>A  WIEN76</t>
  </si>
  <si>
    <t>Karl Landsteiner Privatuniversität für Gesundheitswissenschaften GmbH</t>
  </si>
  <si>
    <t>MONTANUNIVERSITAET LEOBEN</t>
  </si>
  <si>
    <t>JAM MUSIC LAB Private University for Jazz and Popular Music Vienna</t>
  </si>
  <si>
    <t>Datum</t>
  </si>
  <si>
    <t>Unterschrift</t>
  </si>
  <si>
    <t>E10054064</t>
  </si>
  <si>
    <t>E10208308</t>
  </si>
  <si>
    <t>E10106070</t>
  </si>
  <si>
    <t>E10080646</t>
  </si>
  <si>
    <t>E10108614</t>
  </si>
  <si>
    <t>E10125992</t>
  </si>
  <si>
    <t>E10107661</t>
  </si>
  <si>
    <t>E10208908</t>
  </si>
  <si>
    <t>E10209400</t>
  </si>
  <si>
    <t>E10150994</t>
  </si>
  <si>
    <t>E10067249</t>
  </si>
  <si>
    <t>E10118298</t>
  </si>
  <si>
    <t>E10207256</t>
  </si>
  <si>
    <t>E10180135</t>
  </si>
  <si>
    <t>E10208589</t>
  </si>
  <si>
    <t>E10208876</t>
  </si>
  <si>
    <t>E10102599</t>
  </si>
  <si>
    <t>E10205342</t>
  </si>
  <si>
    <t>E10103835</t>
  </si>
  <si>
    <t>E10209122</t>
  </si>
  <si>
    <t>E10208754</t>
  </si>
  <si>
    <t>E10211627</t>
  </si>
  <si>
    <t>E10208594</t>
  </si>
  <si>
    <t>E10035612</t>
  </si>
  <si>
    <t>E10173780</t>
  </si>
  <si>
    <t>E10189052</t>
  </si>
  <si>
    <t>E10054647</t>
  </si>
  <si>
    <t>E10208841</t>
  </si>
  <si>
    <t>E10067356</t>
  </si>
  <si>
    <t>E10200255</t>
  </si>
  <si>
    <t>E10209119</t>
  </si>
  <si>
    <t>E10209080</t>
  </si>
  <si>
    <t>E10205663</t>
  </si>
  <si>
    <t>E10080085</t>
  </si>
  <si>
    <t>E10026665</t>
  </si>
  <si>
    <t>E10205657</t>
  </si>
  <si>
    <t>E10205492</t>
  </si>
  <si>
    <t>E10097390</t>
  </si>
  <si>
    <t>E10208866</t>
  </si>
  <si>
    <t>E10093810</t>
  </si>
  <si>
    <t>E10062661</t>
  </si>
  <si>
    <t>E10186156</t>
  </si>
  <si>
    <t>E10113741</t>
  </si>
  <si>
    <t>E10200778</t>
  </si>
  <si>
    <t>E10146606</t>
  </si>
  <si>
    <t>E10137975</t>
  </si>
  <si>
    <t>E10155097</t>
  </si>
  <si>
    <t>E10208854</t>
  </si>
  <si>
    <t>E10209415</t>
  </si>
  <si>
    <t>E10209455</t>
  </si>
  <si>
    <t>E10208722</t>
  </si>
  <si>
    <t>E10208161</t>
  </si>
  <si>
    <t>E10179725</t>
  </si>
  <si>
    <t>E10207671</t>
  </si>
  <si>
    <t>E10151881</t>
  </si>
  <si>
    <t>E10102265</t>
  </si>
  <si>
    <t>E10178676</t>
  </si>
  <si>
    <t>E10103635</t>
  </si>
  <si>
    <t>E10204184</t>
  </si>
  <si>
    <t>E10078269</t>
  </si>
  <si>
    <t>E10083917</t>
  </si>
  <si>
    <t>E10106327</t>
  </si>
  <si>
    <t>E10163238</t>
  </si>
  <si>
    <t>E10209471</t>
  </si>
  <si>
    <t>E10187241</t>
  </si>
  <si>
    <t>E10190418</t>
  </si>
  <si>
    <t>E10150824</t>
  </si>
  <si>
    <t>E10107447</t>
  </si>
  <si>
    <t>E10179040</t>
  </si>
  <si>
    <t>E10047841</t>
  </si>
  <si>
    <t>E10198846</t>
  </si>
  <si>
    <t>E10097899</t>
  </si>
  <si>
    <t>Pädagogische Hochschule Wien</t>
  </si>
  <si>
    <t>HOCHSCHULE FUR AGRAR- UND UMWELTPADAGOGIK</t>
  </si>
  <si>
    <t>BILDUNGSVEREIN FUR DIE FREUNDE DER WEBSTER UNIVERSITY (ST. LOUIS, USA)</t>
  </si>
  <si>
    <t>Vorarlberger Landeskonservatorium GmbH</t>
  </si>
  <si>
    <t>Gustav Mahler Privatuniversität für Musik</t>
  </si>
  <si>
    <t>INSTITUTE OF SCIENCE AND TECHNOLOGYAUSTRIA</t>
  </si>
  <si>
    <t>Katholische Privat-Universitaet Linz</t>
  </si>
  <si>
    <t>KIRCHLICHE PÄDAGOGISCHE HOCHSCHULE WIEN / KREMS</t>
  </si>
  <si>
    <t>Erasmus Code</t>
  </si>
  <si>
    <t>InstName</t>
  </si>
  <si>
    <t>SMS_Mob</t>
  </si>
  <si>
    <t>SMS_€</t>
  </si>
  <si>
    <t>SMT_Mob</t>
  </si>
  <si>
    <t>SMT_€</t>
  </si>
  <si>
    <t>STA_Mob</t>
  </si>
  <si>
    <t>STA_t</t>
  </si>
  <si>
    <t>STA_€</t>
  </si>
  <si>
    <t>STT_Mob</t>
  </si>
  <si>
    <t>STT_t</t>
  </si>
  <si>
    <t>STT_€</t>
  </si>
  <si>
    <t>OS_€</t>
  </si>
  <si>
    <t>OS_Mob</t>
  </si>
  <si>
    <t>TOTAL GRANT</t>
  </si>
  <si>
    <t>Auszahlung</t>
  </si>
  <si>
    <t>80%</t>
  </si>
  <si>
    <t>40%</t>
  </si>
  <si>
    <t>20%</t>
  </si>
  <si>
    <t>Laufzeit Projekt</t>
  </si>
  <si>
    <t>CP VN</t>
  </si>
  <si>
    <t>CP NN</t>
  </si>
  <si>
    <t>CP_gender</t>
  </si>
  <si>
    <t>CP_email</t>
  </si>
  <si>
    <t>CP_ges</t>
  </si>
  <si>
    <t>2021-1-AT01-KA131-HED-000008343</t>
  </si>
  <si>
    <t>80-20</t>
  </si>
  <si>
    <t>26 Monate</t>
  </si>
  <si>
    <t>2021-1-AT01-KA131-HED-000003720</t>
  </si>
  <si>
    <t>2021-1-AT01-KA131-HED-000003073</t>
  </si>
  <si>
    <t>2021-1-AT01-KA131-HED-000003462</t>
  </si>
  <si>
    <t>Joseph Haydn Konservatorium GmbH</t>
  </si>
  <si>
    <t>2021-1-AT01-KA131-HED-000003444</t>
  </si>
  <si>
    <t>2021-1-AT01-KA131-HED-000003710</t>
  </si>
  <si>
    <t>2021-1-AT01-KA131-HED-000003481</t>
  </si>
  <si>
    <t>2021-1-AT01-KA131-HED-000004290</t>
  </si>
  <si>
    <t>40-40-20</t>
  </si>
  <si>
    <t>2021-1-AT01-KA131-HED-000008249</t>
  </si>
  <si>
    <t>2021-1-AT01-KA131-HED-000004750</t>
  </si>
  <si>
    <t>2021-1-AT01-KA131-HED-000005601</t>
  </si>
  <si>
    <t>2021-1-AT01-KA131-HED-000008805</t>
  </si>
  <si>
    <t>2021-1-AT01-KA131-HED-000005555</t>
  </si>
  <si>
    <t>2021-1-AT01-KA131-HED-000004393</t>
  </si>
  <si>
    <t>2021-1-AT01-KA131-HED-000005033</t>
  </si>
  <si>
    <t>2021-1-AT01-KA131-HED-000006585</t>
  </si>
  <si>
    <t>2021-1-AT01-KA131-HED-000003573</t>
  </si>
  <si>
    <t>2021-1-AT01-KA131-HED-000005344</t>
  </si>
  <si>
    <t>2021-1-AT01-KA131-HED-000003068</t>
  </si>
  <si>
    <t>2021-1-AT01-KA131-HED-000006028</t>
  </si>
  <si>
    <t>2021-1-AT01-KA131-HED-000005432</t>
  </si>
  <si>
    <t>2021-1-AT01-KA131-HED-000004571</t>
  </si>
  <si>
    <t>2021-1-AT01-KA131-HED-000005631</t>
  </si>
  <si>
    <t>2021-1-AT01-KA131-HED-000009995</t>
  </si>
  <si>
    <t>2021-1-AT01-KA131-HED-000012665</t>
  </si>
  <si>
    <t>2021-1-AT01-KA131-HED-000021190</t>
  </si>
  <si>
    <t>2021-1-AT01-KA131-HED-000007087</t>
  </si>
  <si>
    <t>2021-1-AT01-KA131-HED-000009565</t>
  </si>
  <si>
    <t>2021-1-AT01-KA131-HED-000010253</t>
  </si>
  <si>
    <t>2021-1-AT01-KA131-HED-000007657</t>
  </si>
  <si>
    <t>2021-1-AT01-KA131-HED-000004757</t>
  </si>
  <si>
    <t>2021-1-AT01-KA131-HED-000005937</t>
  </si>
  <si>
    <t>2021-1-AT01-KA131-HED-000004728</t>
  </si>
  <si>
    <t>PAEDAGOGISCHE HOCHSCHULE OBEROSTERREICH</t>
  </si>
  <si>
    <t>2021-1-AT01-KA131-HED-000007439</t>
  </si>
  <si>
    <t>2021-1-AT01-KA131-HED-000007612</t>
  </si>
  <si>
    <t>2021-1-AT01-KA131-HED-000004153</t>
  </si>
  <si>
    <t>2021-1-AT01-KA131-HED-000006113</t>
  </si>
  <si>
    <t>2021-1-AT01-KA131-HED-000005226</t>
  </si>
  <si>
    <t>2021-1-AT01-KA131-HED-000007019</t>
  </si>
  <si>
    <t>Pädagogische Hochschule Salzburg Stefan Zweig</t>
  </si>
  <si>
    <t>2021-1-AT01-KA131-HED-000004801</t>
  </si>
  <si>
    <t>2021-1-AT01-KA131-HED-000006553</t>
  </si>
  <si>
    <t>2021-1-AT01-KA131-HED-000011794</t>
  </si>
  <si>
    <t>2021-1-AT01-KA131-HED-000018638</t>
  </si>
  <si>
    <t>A  SALZBUR19</t>
  </si>
  <si>
    <t>2021-1-AT01-KA131-HED-000008093</t>
  </si>
  <si>
    <t>2021-1-AT01-KA131-HED-000004997</t>
  </si>
  <si>
    <t>2021-1-AT01-KA131-HED-000010339</t>
  </si>
  <si>
    <t>2021-1-AT01-KA131-HED-000010100</t>
  </si>
  <si>
    <t>2021-1-AT01-KA131-HED-000005157</t>
  </si>
  <si>
    <t>2021-1-AT01-KA131-HED-000005427</t>
  </si>
  <si>
    <t>2021-1-AT01-KA131-HED-000007215</t>
  </si>
  <si>
    <t>2021-1-AT01-KA131-HED-000006722</t>
  </si>
  <si>
    <t>2021-1-AT01-KA131-HED-000003613</t>
  </si>
  <si>
    <t>Petra WINTER</t>
  </si>
  <si>
    <t>2021-1-AT01-KA131-HED-000007736</t>
  </si>
  <si>
    <t>2021-1-AT01-KA131-HED-000018577</t>
  </si>
  <si>
    <t>2021-1-AT01-KA131-HED-000006040</t>
  </si>
  <si>
    <t>2021-1-AT01-KA131-HED-000008568</t>
  </si>
  <si>
    <t>2021-1-AT01-KA131-HED-000004827</t>
  </si>
  <si>
    <t>2021-1-AT01-KA131-HED-000009339</t>
  </si>
  <si>
    <t>2021-1-AT01-KA131-HED-000005561</t>
  </si>
  <si>
    <t>2021-1-AT01-KA131-HED-000011505</t>
  </si>
  <si>
    <t>2021-1-AT01-KA131-HED-000008141</t>
  </si>
  <si>
    <t>FHW Fachhochschul-Studiengänge Betriebs- und Forschungseinrichtungen der Wiener Wirtschaft GmbH</t>
  </si>
  <si>
    <t>2021-1-AT01-KA131-HED-000004597</t>
  </si>
  <si>
    <t>2021-1-AT01-KA131-HED-000008383</t>
  </si>
  <si>
    <t>2021-1-AT01-KA131-HED-000008982</t>
  </si>
  <si>
    <t>2021-1-AT01-KA131-HED-000003405</t>
  </si>
  <si>
    <t>2021-1-AT01-KA131-HED-000007577</t>
  </si>
  <si>
    <t>2021-1-AT01-KA131-HED-000003097</t>
  </si>
  <si>
    <t>2021-1-AT01-KA131-HED-000030551</t>
  </si>
  <si>
    <t>2021-1-AT01-KA131-HED-000012793</t>
  </si>
  <si>
    <t>A  WIEN72</t>
  </si>
  <si>
    <t>Wiener Psychoanalytische Akademie</t>
  </si>
  <si>
    <t>2021-1-AT01-KA131-HED-000019673</t>
  </si>
  <si>
    <t>VMI-Vienna Music Institute - Konservatorium des Herrn Mag. Ernst Ritsch</t>
  </si>
  <si>
    <t>2021-1-AT01-KA131-HED-000019286</t>
  </si>
  <si>
    <t>2021-1-AT01-KA131-HED-000004774</t>
  </si>
  <si>
    <t>2021-1-AT01-KA131-HED-000010287</t>
  </si>
  <si>
    <t>A  WIEN78</t>
  </si>
  <si>
    <t>CEU GMBH</t>
  </si>
  <si>
    <t>2021-1-AT01-KA131-HED-000007886</t>
  </si>
  <si>
    <t>2021-1-AT01-KA131-HED-000005630</t>
  </si>
  <si>
    <t>2021-1-AT01-KA131-HED-000003839</t>
  </si>
  <si>
    <t>OID</t>
  </si>
  <si>
    <t>E10203046</t>
  </si>
  <si>
    <t>E10115036</t>
  </si>
  <si>
    <t>E10269139</t>
  </si>
  <si>
    <t>Legal Representative</t>
  </si>
  <si>
    <t>Legal Representative Email</t>
  </si>
  <si>
    <t>Legal Representative2</t>
  </si>
  <si>
    <t>Erwin Rauscher</t>
  </si>
  <si>
    <t>Stefan Fitz-Rankl</t>
  </si>
  <si>
    <t>Sabine Weisz</t>
  </si>
  <si>
    <t>Georg Pehm</t>
  </si>
  <si>
    <t>Franz Steindl</t>
  </si>
  <si>
    <t>Gernot Brauchle</t>
  </si>
  <si>
    <t>Jörg Maria Ortwein</t>
  </si>
  <si>
    <t>Petra Schaper-Rinkel</t>
  </si>
  <si>
    <t>Stefan Vorbach</t>
  </si>
  <si>
    <t>Georg Schulz</t>
  </si>
  <si>
    <t>Elgrid Messner</t>
  </si>
  <si>
    <t>Andrea Seel</t>
  </si>
  <si>
    <t>Sabine Vogl</t>
  </si>
  <si>
    <t>Tilmann Märk</t>
  </si>
  <si>
    <t>Thomas Schöpf</t>
  </si>
  <si>
    <t>Andreas Altmann</t>
  </si>
  <si>
    <t>Sandra Ückert</t>
  </si>
  <si>
    <t>Walter Wolfgang Fleischhacker</t>
  </si>
  <si>
    <t>Walter Draxl</t>
  </si>
  <si>
    <t>Doris Hattenberger</t>
  </si>
  <si>
    <t>Marlies Krainz-Dürr</t>
  </si>
  <si>
    <t>Thomas A. Henzinger</t>
  </si>
  <si>
    <t>Ulrike Prommer</t>
  </si>
  <si>
    <t>Friedrich Faulhammer</t>
  </si>
  <si>
    <t>Rudolf Mallinger</t>
  </si>
  <si>
    <t>Thomas Madritsch</t>
  </si>
  <si>
    <t>Peter Moser</t>
  </si>
  <si>
    <t>Stefan Koch</t>
  </si>
  <si>
    <t>Walter Vogel</t>
  </si>
  <si>
    <t>Franz Keplinger</t>
  </si>
  <si>
    <t>Christoph Niemand</t>
  </si>
  <si>
    <t>Martin Rummel</t>
  </si>
  <si>
    <t>Bettina Schneebauer</t>
  </si>
  <si>
    <t>Hendrik Lehnert</t>
  </si>
  <si>
    <t>Elisabeth Gutjahr</t>
  </si>
  <si>
    <t>Doris Walter</t>
  </si>
  <si>
    <t>Christoph Stöckmann</t>
  </si>
  <si>
    <t>Wolfgang Sperl</t>
  </si>
  <si>
    <t>Lydia Gruber</t>
  </si>
  <si>
    <t>Gernot Kohl</t>
  </si>
  <si>
    <t>Herbert Grüner</t>
  </si>
  <si>
    <t>Johannes Zederbauer</t>
  </si>
  <si>
    <t>Regina Aichinger</t>
  </si>
  <si>
    <t>Jean-Robert Tyran</t>
  </si>
  <si>
    <t>Kurt Matyas</t>
  </si>
  <si>
    <t>Margarethe Rammerstorfer</t>
  </si>
  <si>
    <t>Johan Frederik Hartle</t>
  </si>
  <si>
    <t>Gerald BAST</t>
  </si>
  <si>
    <t>Johannes Meissl</t>
  </si>
  <si>
    <t>Ruth Petz</t>
  </si>
  <si>
    <t>Christoph Berger</t>
  </si>
  <si>
    <t>Thomas Haase</t>
  </si>
  <si>
    <t>Michael Heritsch</t>
  </si>
  <si>
    <t>Eva Schiessl-Foggensteiner</t>
  </si>
  <si>
    <t>Andreas Mailath-Pokorny</t>
  </si>
  <si>
    <t>Horst Rode</t>
  </si>
  <si>
    <t>Wilhelm Behensky</t>
  </si>
  <si>
    <t>Michaela Fritz</t>
  </si>
  <si>
    <t>Karl Woeber</t>
  </si>
  <si>
    <t>Alfred Pritz</t>
  </si>
  <si>
    <t>Alexander Zirkler</t>
  </si>
  <si>
    <t>Ernst Ritsch</t>
  </si>
  <si>
    <t>Johannes Pollak</t>
  </si>
  <si>
    <t>Marcus Ratka</t>
  </si>
  <si>
    <t>Peter Erlacher</t>
  </si>
  <si>
    <t>Helmut Pfeffer</t>
  </si>
  <si>
    <t>Jürgen WÖRGÖTTER</t>
  </si>
  <si>
    <t>Martin Payer</t>
  </si>
  <si>
    <t>Karl P. Pfeiffer</t>
  </si>
  <si>
    <t>Erich Brugger</t>
  </si>
  <si>
    <t>Kristina Edlinger-Ploder</t>
  </si>
  <si>
    <t>Siegfried Spanz</t>
  </si>
  <si>
    <t>Florian Eckkramer</t>
  </si>
  <si>
    <t>Gabriele Költringer</t>
  </si>
  <si>
    <t>Legal Representative Email2</t>
  </si>
  <si>
    <t>BIP 1 Mob</t>
  </si>
  <si>
    <t>BIP 1 €</t>
  </si>
  <si>
    <t>BIP 2 Mob</t>
  </si>
  <si>
    <t>BIP 2 €</t>
  </si>
  <si>
    <t>BIP 3 Mob</t>
  </si>
  <si>
    <t>BIP 3 €</t>
  </si>
  <si>
    <t>BIP 4 Mob</t>
  </si>
  <si>
    <t>BIP 4 €</t>
  </si>
  <si>
    <t>BIP 5 Mob</t>
  </si>
  <si>
    <t>BIP 5 €</t>
  </si>
  <si>
    <t>GZ</t>
  </si>
  <si>
    <t>292/001/21</t>
  </si>
  <si>
    <t>292/002/21</t>
  </si>
  <si>
    <t>292/003/21</t>
  </si>
  <si>
    <t>292/004/21</t>
  </si>
  <si>
    <t>292/005/21</t>
  </si>
  <si>
    <t>292/006/21</t>
  </si>
  <si>
    <t>292/007/21</t>
  </si>
  <si>
    <t>292/008/21</t>
  </si>
  <si>
    <t>292/009/21</t>
  </si>
  <si>
    <t>292/010/21</t>
  </si>
  <si>
    <t>292/011/21</t>
  </si>
  <si>
    <t>292/012/21</t>
  </si>
  <si>
    <t>292/013/21</t>
  </si>
  <si>
    <t>292/014/21</t>
  </si>
  <si>
    <t>292/015/21</t>
  </si>
  <si>
    <t>292/016/21</t>
  </si>
  <si>
    <t>292/017/21</t>
  </si>
  <si>
    <t>292/018/21</t>
  </si>
  <si>
    <t>292/019/21</t>
  </si>
  <si>
    <t>292/020/21</t>
  </si>
  <si>
    <t>292/021/21</t>
  </si>
  <si>
    <t>292/022/21</t>
  </si>
  <si>
    <t>292/023/21</t>
  </si>
  <si>
    <t>292/024/21</t>
  </si>
  <si>
    <t>292/025/21</t>
  </si>
  <si>
    <t>292/026/21</t>
  </si>
  <si>
    <t>292/027/21</t>
  </si>
  <si>
    <t>292/028/21</t>
  </si>
  <si>
    <t>292/029/21</t>
  </si>
  <si>
    <t>292/030/21</t>
  </si>
  <si>
    <t>292/031/21</t>
  </si>
  <si>
    <t>292/032/21</t>
  </si>
  <si>
    <t>292/033/21</t>
  </si>
  <si>
    <t>292/034/21</t>
  </si>
  <si>
    <t>292/035/21</t>
  </si>
  <si>
    <t>292/036/21</t>
  </si>
  <si>
    <t>292/037/21</t>
  </si>
  <si>
    <t>292/038/21</t>
  </si>
  <si>
    <t>292/039/21</t>
  </si>
  <si>
    <t>292/041/21</t>
  </si>
  <si>
    <t>292/040/21</t>
  </si>
  <si>
    <t>292/042/21</t>
  </si>
  <si>
    <t>292/043/21</t>
  </si>
  <si>
    <t>292/044/21</t>
  </si>
  <si>
    <t>292/045/21</t>
  </si>
  <si>
    <t>292/046/21</t>
  </si>
  <si>
    <t>292/047/21</t>
  </si>
  <si>
    <t>292/048/21</t>
  </si>
  <si>
    <t>292/049/21</t>
  </si>
  <si>
    <t>292/050/21</t>
  </si>
  <si>
    <t>292/051/21</t>
  </si>
  <si>
    <t>292/052/21</t>
  </si>
  <si>
    <t>292/053/21</t>
  </si>
  <si>
    <t>292/054/21</t>
  </si>
  <si>
    <t>292/055/21</t>
  </si>
  <si>
    <t>292/056/21</t>
  </si>
  <si>
    <t>292/057/21</t>
  </si>
  <si>
    <t>292/058/21</t>
  </si>
  <si>
    <t>292/059/21</t>
  </si>
  <si>
    <t>292/060/21</t>
  </si>
  <si>
    <t>292/061/21</t>
  </si>
  <si>
    <t>292/062/21</t>
  </si>
  <si>
    <t>292/063/21</t>
  </si>
  <si>
    <t>292/064/21</t>
  </si>
  <si>
    <t>292/065/21</t>
  </si>
  <si>
    <t>292/066/21</t>
  </si>
  <si>
    <t>292/067/21</t>
  </si>
  <si>
    <t>292/068/21</t>
  </si>
  <si>
    <t>292/069/21</t>
  </si>
  <si>
    <t>292/070/21</t>
  </si>
  <si>
    <t>292/071/21</t>
  </si>
  <si>
    <t>292/072/21</t>
  </si>
  <si>
    <t>292/073/21</t>
  </si>
  <si>
    <t>292/074/21</t>
  </si>
  <si>
    <t>292/075/21</t>
  </si>
  <si>
    <t>292/076/21</t>
  </si>
  <si>
    <t>von STA</t>
  </si>
  <si>
    <t>von STT</t>
  </si>
  <si>
    <t>nach STA</t>
  </si>
  <si>
    <t>nach STT</t>
  </si>
  <si>
    <t>nach SMS</t>
  </si>
  <si>
    <t>von SMS</t>
  </si>
  <si>
    <t>SMS</t>
  </si>
  <si>
    <t>Mobilitäten</t>
  </si>
  <si>
    <t>SMT</t>
  </si>
  <si>
    <t>BIP 1</t>
  </si>
  <si>
    <t>BIP 2</t>
  </si>
  <si>
    <t>BIP 3</t>
  </si>
  <si>
    <t>BIP 4</t>
  </si>
  <si>
    <t>BIP 5</t>
  </si>
  <si>
    <t>lt. Vertrag</t>
  </si>
  <si>
    <t>geplant</t>
  </si>
  <si>
    <t>OS</t>
  </si>
  <si>
    <t>&lt;=100</t>
  </si>
  <si>
    <t>&gt;100</t>
  </si>
  <si>
    <t>Mob</t>
  </si>
  <si>
    <t>nach ZB</t>
  </si>
  <si>
    <t>90% Grenze</t>
  </si>
  <si>
    <t>Mob für Abrechnung</t>
  </si>
  <si>
    <t>Inclusion Support HEI</t>
  </si>
  <si>
    <t>IncS_HEI Mob</t>
  </si>
  <si>
    <t>IncS_HEI €</t>
  </si>
  <si>
    <t>IncS_Part Mob</t>
  </si>
  <si>
    <t>IncS_Part €</t>
  </si>
  <si>
    <t>Except_Costs €</t>
  </si>
  <si>
    <t>Inclusion Support Participants</t>
  </si>
  <si>
    <t>von SMT</t>
  </si>
  <si>
    <t>nach SMT</t>
  </si>
  <si>
    <t>von OS</t>
  </si>
  <si>
    <t>Saldo</t>
  </si>
  <si>
    <t>zur Verfügung nach Umschichtung</t>
  </si>
  <si>
    <t>SM</t>
  </si>
  <si>
    <t>nach SM</t>
  </si>
  <si>
    <t>nach ST</t>
  </si>
  <si>
    <t>ST</t>
  </si>
  <si>
    <t>Tage finanziert</t>
  </si>
  <si>
    <t>Tage zero grant</t>
  </si>
  <si>
    <t>realisiert/
zuerkannt</t>
  </si>
  <si>
    <t>Übersicht</t>
  </si>
  <si>
    <t>Budget lt. Bericht</t>
  </si>
  <si>
    <t>Budget bewilligt</t>
  </si>
  <si>
    <t>OS Inc Sup</t>
  </si>
  <si>
    <t>Inc Sup</t>
  </si>
  <si>
    <t>von BIP</t>
  </si>
  <si>
    <t>Umschichtungen</t>
  </si>
  <si>
    <t>Incl. Sup.</t>
  </si>
  <si>
    <t>OS BIP</t>
  </si>
  <si>
    <t>möglicher Antrag auf zusätzliche Mittel</t>
  </si>
  <si>
    <t>von InSu HEI</t>
  </si>
  <si>
    <t>Karl Cernic</t>
  </si>
  <si>
    <t>lt. Finanzhilfe-Vereinbarung</t>
  </si>
  <si>
    <t>Betrag lt.Vereinbarung</t>
  </si>
  <si>
    <t>Reise-/Aufenthaltskosten bereits ausbezahlt</t>
  </si>
  <si>
    <t>1. Vorauszahlung</t>
  </si>
  <si>
    <t>Name:</t>
  </si>
  <si>
    <t>Name der Abteilung:</t>
  </si>
  <si>
    <t>Anteil der Auszahlungen an erhaltener Vorauszahlung</t>
  </si>
  <si>
    <t>Bestätigung durch Finanzabteilung</t>
  </si>
  <si>
    <t xml:space="preserve">Bisher vom OeAD ausbezahlte Mittel </t>
  </si>
  <si>
    <t>Aufwendungen für BIPs bereits ausbezahlt</t>
  </si>
  <si>
    <t>Kontrolle</t>
  </si>
  <si>
    <t>Diff</t>
  </si>
  <si>
    <t>möglicher Verzicht auf Mittel</t>
  </si>
  <si>
    <t>1.)</t>
  </si>
  <si>
    <t>2.)</t>
  </si>
  <si>
    <t>3.)</t>
  </si>
  <si>
    <t>5.)</t>
  </si>
  <si>
    <t>Bitte füllen Sie das Tabellenblatt Dateineingabe aus.</t>
  </si>
  <si>
    <t>--&gt; Dateneingabe</t>
  </si>
  <si>
    <t>--&gt; Ausdruck 1</t>
  </si>
  <si>
    <t>&lt;-- Bitte Erasmus Code auswählen --&gt;</t>
  </si>
  <si>
    <t>Titel:</t>
  </si>
  <si>
    <t>E-Code</t>
  </si>
  <si>
    <t>SMS MOB real</t>
  </si>
  <si>
    <t>SMS MOB gepl</t>
  </si>
  <si>
    <t>SMS DUR Mon fin real</t>
  </si>
  <si>
    <t>SMS DUR Mon fin gepl</t>
  </si>
  <si>
    <t xml:space="preserve">SMS DUR Mon zero real </t>
  </si>
  <si>
    <t>SMS DUR Mon zero gepl</t>
  </si>
  <si>
    <t>SMS EURO real</t>
  </si>
  <si>
    <t>SMS EURO gepl</t>
  </si>
  <si>
    <t>SMS UM von SMS</t>
  </si>
  <si>
    <t>SMS UM nach SMS</t>
  </si>
  <si>
    <t>SMS UM von SMT</t>
  </si>
  <si>
    <t>SMS UM nach SMT</t>
  </si>
  <si>
    <t>SMS UM von STA</t>
  </si>
  <si>
    <t>SMS UM nach STA</t>
  </si>
  <si>
    <t>SMS UM von STT</t>
  </si>
  <si>
    <t>SMS UM nach STT</t>
  </si>
  <si>
    <t>SMS UM von OS</t>
  </si>
  <si>
    <t>SMS UM von InSuHei</t>
  </si>
  <si>
    <t>SMS UM von BIP</t>
  </si>
  <si>
    <t>SMT MOB real</t>
  </si>
  <si>
    <t>SMT MOB gepl</t>
  </si>
  <si>
    <t>SMT DUR Mon fin real</t>
  </si>
  <si>
    <t>SMT DUR Mon fin gepl</t>
  </si>
  <si>
    <t xml:space="preserve">SMT DUR Mon zero real </t>
  </si>
  <si>
    <t>SMT DUR Mon zero gepl</t>
  </si>
  <si>
    <t>SMT EURO real</t>
  </si>
  <si>
    <t>SMT EURO gepl</t>
  </si>
  <si>
    <t>SMT UM von SMT</t>
  </si>
  <si>
    <t>SMT UM nach SMT</t>
  </si>
  <si>
    <t>SMT UM von STA</t>
  </si>
  <si>
    <t>SMT UM nach STA</t>
  </si>
  <si>
    <t>SMT UM von STT</t>
  </si>
  <si>
    <t>SMT UM nach STT</t>
  </si>
  <si>
    <t>SMT UM von OS</t>
  </si>
  <si>
    <t>SMT UM von InSuHei</t>
  </si>
  <si>
    <t>SMT UM von BIP</t>
  </si>
  <si>
    <t>STA MOB real</t>
  </si>
  <si>
    <t>STA MOB gepl</t>
  </si>
  <si>
    <t>STA DUR Mon fin real</t>
  </si>
  <si>
    <t>STA DUR Mon fin gepl</t>
  </si>
  <si>
    <t xml:space="preserve">STA DUR Mon zero real </t>
  </si>
  <si>
    <t>STA DUR Mon zero gepl</t>
  </si>
  <si>
    <t>STA EURO real</t>
  </si>
  <si>
    <t>STA EURO gepl</t>
  </si>
  <si>
    <t>STA UM von STA</t>
  </si>
  <si>
    <t>STA UM nach STA</t>
  </si>
  <si>
    <t>STA UM von STT</t>
  </si>
  <si>
    <t>STA UM nach STT</t>
  </si>
  <si>
    <t>STA UM von OS</t>
  </si>
  <si>
    <t>STA UM von InSuHei</t>
  </si>
  <si>
    <t>STA UM von BIP</t>
  </si>
  <si>
    <t>STT MOB real</t>
  </si>
  <si>
    <t>STT MOB gepl</t>
  </si>
  <si>
    <t>STT DUR Mon fin real</t>
  </si>
  <si>
    <t>STT DUR Mon fin gepl</t>
  </si>
  <si>
    <t xml:space="preserve">STT DUR Mon zero real </t>
  </si>
  <si>
    <t>STT DUR Mon zero gepl</t>
  </si>
  <si>
    <t>STT EURO real</t>
  </si>
  <si>
    <t>STT EURO gepl</t>
  </si>
  <si>
    <t>STT UM von STT</t>
  </si>
  <si>
    <t>STT UM nach STT</t>
  </si>
  <si>
    <t>STT UM von OS</t>
  </si>
  <si>
    <t>STT UM von InSuHei</t>
  </si>
  <si>
    <t>STT UM von BIP</t>
  </si>
  <si>
    <t>SMT UM von SMS</t>
  </si>
  <si>
    <t>SMT UM nach SMS</t>
  </si>
  <si>
    <t>STA UM von SMS</t>
  </si>
  <si>
    <t>STA UM nach SMS</t>
  </si>
  <si>
    <t>STA UM von SMT</t>
  </si>
  <si>
    <t>STA UM nach SMT</t>
  </si>
  <si>
    <t>STT UM von SMS</t>
  </si>
  <si>
    <t>STT UM nach SMS</t>
  </si>
  <si>
    <t>STT UM von SMT</t>
  </si>
  <si>
    <t>STT UM nach SMT</t>
  </si>
  <si>
    <t>STT UM von STA</t>
  </si>
  <si>
    <t>STT UM nach STA</t>
  </si>
  <si>
    <t>InSuPar MOB real</t>
  </si>
  <si>
    <t>InSuPar MOB gepl</t>
  </si>
  <si>
    <t>InSuPar EURO real</t>
  </si>
  <si>
    <t>InSuPar EURO gepl</t>
  </si>
  <si>
    <t>OS MOB rel</t>
  </si>
  <si>
    <t>OS MOB gepl</t>
  </si>
  <si>
    <t>OS EURO möglich</t>
  </si>
  <si>
    <t>OS EURO Meldung</t>
  </si>
  <si>
    <t>OS UM nach SMS</t>
  </si>
  <si>
    <t>OS UM nach SMT</t>
  </si>
  <si>
    <t>OS UM nach STA</t>
  </si>
  <si>
    <t>OS UM nach STT</t>
  </si>
  <si>
    <t>InSupHEI Mob real</t>
  </si>
  <si>
    <t>InSupHEI Mob gepl</t>
  </si>
  <si>
    <t xml:space="preserve">InSupHEI EURO </t>
  </si>
  <si>
    <t>InSupHEI UM nach SMS</t>
  </si>
  <si>
    <t>InSupHEI UM nach SMT</t>
  </si>
  <si>
    <t>InSupHEI UM nach STA</t>
  </si>
  <si>
    <t>InSupHEI UM nach STT</t>
  </si>
  <si>
    <t>BIP1 MOB real</t>
  </si>
  <si>
    <t>BIP1 MOB gepl</t>
  </si>
  <si>
    <t>BIP1 EURO real</t>
  </si>
  <si>
    <t>BIP1 EURO gepl</t>
  </si>
  <si>
    <t>BIP1 UM nach SMS</t>
  </si>
  <si>
    <t>BIP1 UM nach SMT</t>
  </si>
  <si>
    <t>BIP1 UM nach STA</t>
  </si>
  <si>
    <t>BIP1 UM nach STT</t>
  </si>
  <si>
    <t>BIP2 MOB real</t>
  </si>
  <si>
    <t>BIP2 MOB gepl</t>
  </si>
  <si>
    <t>BIP2 EURO real</t>
  </si>
  <si>
    <t>BIP2 EURO gepl</t>
  </si>
  <si>
    <t>BIP2 UM nach SMS</t>
  </si>
  <si>
    <t>BIP2 UM nach SMT</t>
  </si>
  <si>
    <t>BIP2 UM nach STA</t>
  </si>
  <si>
    <t>BIP2 UM nach STT</t>
  </si>
  <si>
    <t>BIP1 Titel</t>
  </si>
  <si>
    <t>BIP2 Titel</t>
  </si>
  <si>
    <t>BIP3 Titel</t>
  </si>
  <si>
    <t>BIP3 MOB real</t>
  </si>
  <si>
    <t>BIP3 MOB gepl</t>
  </si>
  <si>
    <t>BIP3 EURO real</t>
  </si>
  <si>
    <t>BIP3 EURO gepl</t>
  </si>
  <si>
    <t>BIP3 UM nach SMS</t>
  </si>
  <si>
    <t>BIP3 UM nach SMT</t>
  </si>
  <si>
    <t>BIP3 UM nach STA</t>
  </si>
  <si>
    <t>BIP3 UM nach STT</t>
  </si>
  <si>
    <t>BIP4 Titel</t>
  </si>
  <si>
    <t>BIP4 MOB real</t>
  </si>
  <si>
    <t>BIP4 MOB gepl</t>
  </si>
  <si>
    <t>BIP4 EURO real</t>
  </si>
  <si>
    <t>BIP4 EURO gepl</t>
  </si>
  <si>
    <t>BIP4 UM nach SMS</t>
  </si>
  <si>
    <t>BIP4 UM nach SMT</t>
  </si>
  <si>
    <t>BIP4 UM nach STA</t>
  </si>
  <si>
    <t>BIP4 UM nach STT</t>
  </si>
  <si>
    <t>BIP5 Titel</t>
  </si>
  <si>
    <t>BIP5 MOB real</t>
  </si>
  <si>
    <t>BIP5 MOB gepl</t>
  </si>
  <si>
    <t>BIP5 EURO real</t>
  </si>
  <si>
    <t>BIP5 EURO gepl</t>
  </si>
  <si>
    <t>BIP5 UM nach SMS</t>
  </si>
  <si>
    <t>BIP5 UM nach SMT</t>
  </si>
  <si>
    <t>BIP5 UM nach STA</t>
  </si>
  <si>
    <t>BIP5 UM nach STT</t>
  </si>
  <si>
    <t>SMS Antrag EURO</t>
  </si>
  <si>
    <t>SMS Antrag STATUS</t>
  </si>
  <si>
    <t>SMT Antrag EURO</t>
  </si>
  <si>
    <t>SMT Antrag STATUS</t>
  </si>
  <si>
    <t>STA Antrag EURO</t>
  </si>
  <si>
    <t>STA Antrag STATUS</t>
  </si>
  <si>
    <t>STT Antrag EURO</t>
  </si>
  <si>
    <t>STT Antrag STATUS</t>
  </si>
  <si>
    <t>OS Antrag EURO</t>
  </si>
  <si>
    <t>OS Antrag STATUS</t>
  </si>
  <si>
    <t>Betrag lt. vereinabrung</t>
  </si>
  <si>
    <t>1. Auszahlung</t>
  </si>
  <si>
    <t>TR-IS aus</t>
  </si>
  <si>
    <t>OS aus</t>
  </si>
  <si>
    <t>BIP OS aus</t>
  </si>
  <si>
    <t>Summe aus</t>
  </si>
  <si>
    <t>Anteil aus</t>
  </si>
  <si>
    <t>Ausdruck1 Datum1</t>
  </si>
  <si>
    <t>Ausdruck1 Datum2</t>
  </si>
  <si>
    <t>Ausdruck2 Datum Finanz</t>
  </si>
  <si>
    <t>Ausdruck2 Datum1</t>
  </si>
  <si>
    <t>Ausdruck2 Datum2</t>
  </si>
  <si>
    <t>Bitte füllen Sie das Tabellenblatt Ausdruck 1 aus.</t>
  </si>
  <si>
    <t>Bitte füllen Sie NUR die gelb hinterlegten Felder aus!</t>
  </si>
  <si>
    <t>Drucken Sie bitte Ausdruck 1 aus.</t>
  </si>
  <si>
    <t>Hiermit wird die Richtigkeit der oben aufgeführten, ausbezahlten Summen bestätigt.</t>
  </si>
  <si>
    <t>max. möglich €</t>
  </si>
  <si>
    <t>diff</t>
  </si>
  <si>
    <t>für Umsch. verfügb.</t>
  </si>
  <si>
    <t>Gesamt Mobilität</t>
  </si>
  <si>
    <t>OS Mob + OS Incl. Sup.</t>
  </si>
  <si>
    <t>Gesamt lt. Bericht</t>
  </si>
  <si>
    <t xml:space="preserve">10.) </t>
  </si>
  <si>
    <t>A  WIEN15-K001</t>
  </si>
  <si>
    <t>A  SALZBUR03</t>
  </si>
  <si>
    <t>Aufwendungen aus OS Mittel (Mobilität) bereits ausbezahlt</t>
  </si>
  <si>
    <t>Auszahlungen durch die Hochschuleinrichtung</t>
  </si>
  <si>
    <t>(Zahlungen berücksichtigt bis:</t>
  </si>
  <si>
    <t>)</t>
  </si>
  <si>
    <t>Anforderung weitere Vorauszahlung</t>
  </si>
  <si>
    <t xml:space="preserve">(Stand per </t>
  </si>
  <si>
    <t>2. Vorauszahlung</t>
  </si>
  <si>
    <t>X</t>
  </si>
  <si>
    <t>Anforderung der Auszahlung i.d.H.v.</t>
  </si>
  <si>
    <t xml:space="preserve">     Vertragsnummer|BM Project number / GZ:</t>
  </si>
  <si>
    <t>Z W I S C H E N B E R I C H T zur Anforderung einer weiteren Vorauszahlung
ERASMUS+  Mobilität von Lernenden und Bildungspersonal (KA131) Call 2021</t>
  </si>
  <si>
    <t xml:space="preserve">     ERASMUS-Code / OID:</t>
  </si>
  <si>
    <t>Hiermit werden die in diesem Zwischenbericht gemachten Angaben zur Anzahl der Mobilitäten, der Monate, dem Budget und den ausbezahlten Summen zu deb oben angeführten Daten bestätigt.</t>
  </si>
  <si>
    <t>Bestätigung Gesetzliche/r Vertreter/in der Hochschulinstitution</t>
  </si>
  <si>
    <r>
      <t xml:space="preserve">Lassen Sie bitte Ausdruck </t>
    </r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unterschreiben und abstempeln.</t>
    </r>
  </si>
  <si>
    <r>
      <t>Scannen Sie bitte die ausgedruckte,</t>
    </r>
    <r>
      <rPr>
        <b/>
        <sz val="11"/>
        <rFont val="Calibri"/>
        <family val="2"/>
        <scheme val="minor"/>
      </rPr>
      <t xml:space="preserve"> unterschriebene und abgetempelte</t>
    </r>
    <r>
      <rPr>
        <sz val="11"/>
        <rFont val="Calibri"/>
        <family val="2"/>
        <scheme val="minor"/>
      </rPr>
      <t xml:space="preserve"> Seite ein.</t>
    </r>
  </si>
  <si>
    <t xml:space="preserve">4.) </t>
  </si>
  <si>
    <t>Alternativ zu 4.) - 5.) können erzeugte pdf-Dateien auch mit den jeweiligen qualifizierten elektronischen Signaturen (z.B. Handysignatur) versehen werden.</t>
  </si>
  <si>
    <r>
      <t xml:space="preserve">Senden Sie diese Excel-Datei </t>
    </r>
    <r>
      <rPr>
        <b/>
        <sz val="11"/>
        <rFont val="Calibri"/>
        <family val="2"/>
        <scheme val="minor"/>
      </rPr>
      <t>und</t>
    </r>
    <r>
      <rPr>
        <sz val="11"/>
        <rFont val="Calibri"/>
        <family val="2"/>
        <scheme val="minor"/>
      </rPr>
      <t xml:space="preserve"> den Scan (bzw. elektronisch signierten pdf-Dateien) per E-Mail an hochschulbildung@oead.at.</t>
    </r>
  </si>
  <si>
    <t>x</t>
  </si>
  <si>
    <t>3. Vorauszahlung</t>
  </si>
  <si>
    <t>Summe Vorauszahlungen</t>
  </si>
  <si>
    <t>PP1</t>
  </si>
  <si>
    <t>PP1_e</t>
  </si>
  <si>
    <t>PP2</t>
  </si>
  <si>
    <t>PP2_e</t>
  </si>
  <si>
    <t>PP3</t>
  </si>
  <si>
    <t>PP3_e</t>
  </si>
  <si>
    <t>PP4</t>
  </si>
  <si>
    <t>PP4_e</t>
  </si>
  <si>
    <t>PP5</t>
  </si>
  <si>
    <t>PP5_e</t>
  </si>
  <si>
    <t>PP6</t>
  </si>
  <si>
    <t>PP6_e</t>
  </si>
  <si>
    <t>PP7</t>
  </si>
  <si>
    <t>PP7_e</t>
  </si>
  <si>
    <t>PP8</t>
  </si>
  <si>
    <t>PP8_e</t>
  </si>
  <si>
    <t>PP9</t>
  </si>
  <si>
    <t>PP9_e</t>
  </si>
  <si>
    <t>PP10</t>
  </si>
  <si>
    <t>PP10_e</t>
  </si>
  <si>
    <t>FP</t>
  </si>
  <si>
    <t>FP_e</t>
  </si>
  <si>
    <t>CFP</t>
  </si>
  <si>
    <t>CFP_e</t>
  </si>
  <si>
    <t>Saldo_P</t>
  </si>
  <si>
    <t>4. Vorauszahlung</t>
  </si>
  <si>
    <t>5. Vorauszahlung</t>
  </si>
  <si>
    <t>Petra Maria Steinmair-Pösel</t>
  </si>
  <si>
    <t xml:space="preserve">Daniela Martinek </t>
  </si>
  <si>
    <t>Zsuzsanna Gabor</t>
  </si>
  <si>
    <t>Private Pädagogische Hochschule Augustinum</t>
  </si>
  <si>
    <t>FH Kärnten - gemeinnützige Gesellschaft mbH</t>
  </si>
  <si>
    <t>SMS_t</t>
  </si>
  <si>
    <t>SMT_t</t>
  </si>
  <si>
    <t>BIP 6 Mob</t>
  </si>
  <si>
    <t>BIP 6 €</t>
  </si>
  <si>
    <t>BIP 6</t>
  </si>
  <si>
    <t>Tage</t>
  </si>
  <si>
    <t>6. Vorauszahlung</t>
  </si>
  <si>
    <t>Jakob Gruchmann-Bernau</t>
  </si>
  <si>
    <t>Sabine Siegl</t>
  </si>
  <si>
    <t>Brigitte Vasicek</t>
  </si>
  <si>
    <t>Karsten Schulz</t>
  </si>
  <si>
    <t>Fabian Burstein</t>
  </si>
  <si>
    <t>Andreas Leisner</t>
  </si>
  <si>
    <t>UMIT TIROL - Private Universität für Gesundheitswissenschaften und -technologie GmbH</t>
  </si>
  <si>
    <t>PARACELSUS MEDIZINISCHE PRIVATUNIVERSITÄT SALZBURG - PRIVATSTIFTUNG</t>
  </si>
  <si>
    <t>2.1.1</t>
  </si>
  <si>
    <t>&lt;-- OID --&gt;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</si>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</sst>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9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Arial"/>
      <family val="2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AFE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0" fontId="2" fillId="0" borderId="0"/>
    <xf numFmtId="43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415">
    <xf numFmtId="0" fontId="0" fillId="0" borderId="0" xfId="0"/>
    <xf numFmtId="0" fontId="5" fillId="0" borderId="0" xfId="0" applyFont="1" applyFill="1" applyBorder="1"/>
    <xf numFmtId="0" fontId="5" fillId="0" borderId="0" xfId="0" applyFont="1" applyProtection="1"/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5" fillId="2" borderId="1" xfId="0" applyFont="1" applyFill="1" applyBorder="1" applyProtection="1"/>
    <xf numFmtId="0" fontId="7" fillId="2" borderId="1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1" fontId="7" fillId="0" borderId="0" xfId="0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/>
    <xf numFmtId="0" fontId="7" fillId="2" borderId="5" xfId="0" applyFont="1" applyFill="1" applyBorder="1" applyAlignment="1" applyProtection="1">
      <alignment vertical="top"/>
    </xf>
    <xf numFmtId="0" fontId="5" fillId="0" borderId="18" xfId="0" applyFont="1" applyFill="1" applyBorder="1" applyAlignment="1" applyProtection="1"/>
    <xf numFmtId="0" fontId="5" fillId="0" borderId="4" xfId="0" applyFont="1" applyFill="1" applyBorder="1" applyProtection="1"/>
    <xf numFmtId="0" fontId="5" fillId="0" borderId="19" xfId="0" applyFont="1" applyFill="1" applyBorder="1" applyProtection="1"/>
    <xf numFmtId="0" fontId="5" fillId="0" borderId="0" xfId="0" applyFont="1" applyFill="1" applyBorder="1" applyProtection="1"/>
    <xf numFmtId="0" fontId="5" fillId="0" borderId="21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0" borderId="15" xfId="0" applyFont="1" applyFill="1" applyBorder="1" applyAlignment="1" applyProtection="1">
      <alignment horizontal="center"/>
    </xf>
    <xf numFmtId="0" fontId="2" fillId="0" borderId="0" xfId="1"/>
    <xf numFmtId="0" fontId="10" fillId="0" borderId="0" xfId="1" applyFont="1"/>
    <xf numFmtId="0" fontId="5" fillId="0" borderId="0" xfId="0" applyFont="1"/>
    <xf numFmtId="0" fontId="2" fillId="0" borderId="0" xfId="1" applyFill="1"/>
    <xf numFmtId="0" fontId="2" fillId="0" borderId="0" xfId="1" applyNumberFormat="1" applyFill="1"/>
    <xf numFmtId="0" fontId="10" fillId="0" borderId="0" xfId="1" applyNumberFormat="1" applyFont="1"/>
    <xf numFmtId="0" fontId="2" fillId="0" borderId="0" xfId="1" applyNumberFormat="1"/>
    <xf numFmtId="0" fontId="7" fillId="0" borderId="0" xfId="0" applyFont="1" applyFill="1" applyBorder="1" applyAlignment="1" applyProtection="1">
      <alignment vertical="top"/>
    </xf>
    <xf numFmtId="0" fontId="5" fillId="0" borderId="7" xfId="0" applyFont="1" applyFill="1" applyBorder="1" applyAlignment="1" applyProtection="1"/>
    <xf numFmtId="0" fontId="7" fillId="2" borderId="0" xfId="0" applyFont="1" applyFill="1" applyBorder="1" applyAlignment="1" applyProtection="1"/>
    <xf numFmtId="0" fontId="3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4" fillId="0" borderId="0" xfId="0" applyFont="1"/>
    <xf numFmtId="43" fontId="0" fillId="0" borderId="0" xfId="2" applyFont="1"/>
    <xf numFmtId="4" fontId="0" fillId="0" borderId="0" xfId="0" applyNumberFormat="1"/>
    <xf numFmtId="2" fontId="4" fillId="0" borderId="0" xfId="0" applyNumberFormat="1" applyFont="1"/>
    <xf numFmtId="4" fontId="5" fillId="4" borderId="0" xfId="0" applyNumberFormat="1" applyFont="1" applyFill="1" applyBorder="1"/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Alignment="1">
      <alignment horizontal="right"/>
    </xf>
    <xf numFmtId="0" fontId="5" fillId="6" borderId="0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4" borderId="12" xfId="0" applyFont="1" applyFill="1" applyBorder="1"/>
    <xf numFmtId="0" fontId="5" fillId="0" borderId="12" xfId="0" applyFont="1" applyBorder="1" applyAlignment="1">
      <alignment horizontal="right"/>
    </xf>
    <xf numFmtId="0" fontId="5" fillId="0" borderId="23" xfId="0" applyFont="1" applyBorder="1"/>
    <xf numFmtId="4" fontId="5" fillId="4" borderId="23" xfId="0" applyNumberFormat="1" applyFont="1" applyFill="1" applyBorder="1"/>
    <xf numFmtId="4" fontId="5" fillId="6" borderId="23" xfId="0" applyNumberFormat="1" applyFont="1" applyFill="1" applyBorder="1"/>
    <xf numFmtId="0" fontId="5" fillId="0" borderId="23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3" xfId="0" applyFont="1" applyBorder="1"/>
    <xf numFmtId="0" fontId="5" fillId="0" borderId="12" xfId="0" applyFont="1" applyBorder="1" applyAlignment="1">
      <alignment wrapText="1"/>
    </xf>
    <xf numFmtId="0" fontId="5" fillId="0" borderId="4" xfId="0" applyFont="1" applyBorder="1"/>
    <xf numFmtId="0" fontId="5" fillId="6" borderId="5" xfId="0" applyFont="1" applyFill="1" applyBorder="1"/>
    <xf numFmtId="0" fontId="5" fillId="0" borderId="29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4" fontId="5" fillId="0" borderId="0" xfId="0" applyNumberFormat="1" applyFont="1" applyBorder="1"/>
    <xf numFmtId="4" fontId="5" fillId="0" borderId="33" xfId="0" applyNumberFormat="1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5" xfId="0" applyFont="1" applyBorder="1" applyAlignment="1">
      <alignment horizontal="right"/>
    </xf>
    <xf numFmtId="4" fontId="5" fillId="0" borderId="35" xfId="0" applyNumberFormat="1" applyFont="1" applyBorder="1"/>
    <xf numFmtId="0" fontId="5" fillId="0" borderId="36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0" xfId="0" applyFont="1" applyBorder="1" applyAlignment="1">
      <alignment horizontal="right"/>
    </xf>
    <xf numFmtId="0" fontId="5" fillId="0" borderId="31" xfId="0" applyFont="1" applyBorder="1"/>
    <xf numFmtId="0" fontId="5" fillId="0" borderId="32" xfId="0" applyFont="1" applyFill="1" applyBorder="1"/>
    <xf numFmtId="0" fontId="5" fillId="0" borderId="33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35" xfId="0" applyFont="1" applyFill="1" applyBorder="1"/>
    <xf numFmtId="0" fontId="5" fillId="0" borderId="35" xfId="0" applyFont="1" applyFill="1" applyBorder="1" applyAlignment="1">
      <alignment horizontal="right"/>
    </xf>
    <xf numFmtId="4" fontId="5" fillId="0" borderId="35" xfId="0" applyNumberFormat="1" applyFont="1" applyFill="1" applyBorder="1"/>
    <xf numFmtId="3" fontId="5" fillId="4" borderId="12" xfId="0" applyNumberFormat="1" applyFont="1" applyFill="1" applyBorder="1"/>
    <xf numFmtId="0" fontId="5" fillId="4" borderId="13" xfId="0" applyFont="1" applyFill="1" applyBorder="1"/>
    <xf numFmtId="0" fontId="5" fillId="0" borderId="23" xfId="0" applyFont="1" applyFill="1" applyBorder="1" applyAlignment="1">
      <alignment horizontal="right"/>
    </xf>
    <xf numFmtId="4" fontId="5" fillId="0" borderId="23" xfId="0" applyNumberFormat="1" applyFont="1" applyFill="1" applyBorder="1"/>
    <xf numFmtId="0" fontId="5" fillId="0" borderId="26" xfId="0" applyFont="1" applyFill="1" applyBorder="1"/>
    <xf numFmtId="0" fontId="5" fillId="0" borderId="12" xfId="0" applyNumberFormat="1" applyFont="1" applyFill="1" applyBorder="1"/>
    <xf numFmtId="0" fontId="16" fillId="0" borderId="12" xfId="0" applyFont="1" applyBorder="1" applyAlignment="1">
      <alignment horizontal="right"/>
    </xf>
    <xf numFmtId="0" fontId="5" fillId="6" borderId="0" xfId="0" applyNumberFormat="1" applyFont="1" applyFill="1" applyBorder="1"/>
    <xf numFmtId="0" fontId="5" fillId="0" borderId="30" xfId="0" applyFont="1" applyFill="1" applyBorder="1"/>
    <xf numFmtId="0" fontId="5" fillId="0" borderId="30" xfId="0" applyFont="1" applyFill="1" applyBorder="1" applyAlignment="1">
      <alignment horizontal="right"/>
    </xf>
    <xf numFmtId="4" fontId="5" fillId="0" borderId="30" xfId="0" applyNumberFormat="1" applyFont="1" applyFill="1" applyBorder="1"/>
    <xf numFmtId="4" fontId="5" fillId="0" borderId="30" xfId="0" applyNumberFormat="1" applyFont="1" applyBorder="1"/>
    <xf numFmtId="0" fontId="5" fillId="0" borderId="30" xfId="0" applyNumberFormat="1" applyFont="1" applyFill="1" applyBorder="1"/>
    <xf numFmtId="0" fontId="5" fillId="4" borderId="12" xfId="0" applyFont="1" applyFill="1" applyBorder="1" applyAlignment="1">
      <alignment wrapText="1"/>
    </xf>
    <xf numFmtId="0" fontId="5" fillId="6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/>
    <xf numFmtId="0" fontId="5" fillId="0" borderId="1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7" fillId="2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 wrapText="1"/>
    </xf>
    <xf numFmtId="0" fontId="5" fillId="0" borderId="44" xfId="0" applyFont="1" applyBorder="1" applyProtection="1"/>
    <xf numFmtId="0" fontId="5" fillId="0" borderId="22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/>
    <xf numFmtId="43" fontId="22" fillId="6" borderId="5" xfId="0" applyNumberFormat="1" applyFont="1" applyFill="1" applyBorder="1"/>
    <xf numFmtId="4" fontId="21" fillId="6" borderId="23" xfId="0" applyNumberFormat="1" applyFont="1" applyFill="1" applyBorder="1"/>
    <xf numFmtId="0" fontId="17" fillId="0" borderId="0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14" fontId="5" fillId="0" borderId="28" xfId="0" applyNumberFormat="1" applyFont="1" applyBorder="1" applyAlignment="1" applyProtection="1">
      <alignment horizontal="center"/>
    </xf>
    <xf numFmtId="0" fontId="5" fillId="5" borderId="42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 wrapText="1"/>
    </xf>
    <xf numFmtId="43" fontId="5" fillId="0" borderId="0" xfId="0" applyNumberFormat="1" applyFont="1"/>
    <xf numFmtId="9" fontId="5" fillId="0" borderId="0" xfId="0" applyNumberFormat="1" applyFont="1"/>
    <xf numFmtId="14" fontId="5" fillId="0" borderId="0" xfId="0" applyNumberFormat="1" applyFont="1"/>
    <xf numFmtId="0" fontId="23" fillId="0" borderId="0" xfId="5" quotePrefix="1" applyFont="1"/>
    <xf numFmtId="0" fontId="23" fillId="0" borderId="0" xfId="5" quotePrefix="1" applyFont="1" applyFill="1" applyBorder="1" applyAlignment="1" applyProtection="1">
      <alignment vertical="center" wrapText="1"/>
    </xf>
    <xf numFmtId="0" fontId="5" fillId="5" borderId="16" xfId="0" applyFont="1" applyFill="1" applyBorder="1" applyProtection="1">
      <protection locked="0"/>
    </xf>
    <xf numFmtId="0" fontId="5" fillId="5" borderId="6" xfId="0" applyFont="1" applyFill="1" applyBorder="1" applyProtection="1">
      <protection locked="0"/>
    </xf>
    <xf numFmtId="4" fontId="5" fillId="5" borderId="17" xfId="0" applyNumberFormat="1" applyFont="1" applyFill="1" applyBorder="1" applyProtection="1">
      <protection locked="0"/>
    </xf>
    <xf numFmtId="4" fontId="5" fillId="5" borderId="6" xfId="0" applyNumberFormat="1" applyFont="1" applyFill="1" applyBorder="1" applyProtection="1">
      <protection locked="0"/>
    </xf>
    <xf numFmtId="0" fontId="22" fillId="0" borderId="37" xfId="0" applyFont="1" applyFill="1" applyBorder="1" applyProtection="1">
      <protection locked="0"/>
    </xf>
    <xf numFmtId="4" fontId="22" fillId="0" borderId="38" xfId="0" applyNumberFormat="1" applyFont="1" applyFill="1" applyBorder="1" applyProtection="1">
      <protection locked="0"/>
    </xf>
    <xf numFmtId="4" fontId="22" fillId="0" borderId="6" xfId="0" applyNumberFormat="1" applyFont="1" applyFill="1" applyBorder="1" applyProtection="1">
      <protection locked="0"/>
    </xf>
    <xf numFmtId="0" fontId="5" fillId="0" borderId="16" xfId="0" applyFont="1" applyFill="1" applyBorder="1" applyProtection="1"/>
    <xf numFmtId="4" fontId="5" fillId="0" borderId="6" xfId="0" applyNumberFormat="1" applyFont="1" applyFill="1" applyBorder="1" applyProtection="1"/>
    <xf numFmtId="4" fontId="5" fillId="0" borderId="6" xfId="0" applyNumberFormat="1" applyFont="1" applyFill="1" applyBorder="1" applyProtection="1">
      <protection locked="0"/>
    </xf>
    <xf numFmtId="4" fontId="24" fillId="0" borderId="0" xfId="0" applyNumberFormat="1" applyFont="1"/>
    <xf numFmtId="4" fontId="5" fillId="6" borderId="0" xfId="0" applyNumberFormat="1" applyFont="1" applyFill="1" applyBorder="1"/>
    <xf numFmtId="4" fontId="22" fillId="6" borderId="0" xfId="0" applyNumberFormat="1" applyFont="1" applyFill="1" applyBorder="1"/>
    <xf numFmtId="0" fontId="5" fillId="6" borderId="23" xfId="0" applyFont="1" applyFill="1" applyBorder="1"/>
    <xf numFmtId="4" fontId="12" fillId="0" borderId="23" xfId="0" applyNumberFormat="1" applyFont="1" applyBorder="1"/>
    <xf numFmtId="4" fontId="12" fillId="0" borderId="23" xfId="0" applyNumberFormat="1" applyFont="1" applyBorder="1" applyAlignment="1">
      <alignment horizontal="right"/>
    </xf>
    <xf numFmtId="4" fontId="12" fillId="4" borderId="0" xfId="0" applyNumberFormat="1" applyFont="1" applyFill="1" applyBorder="1" applyAlignment="1">
      <alignment horizontal="right"/>
    </xf>
    <xf numFmtId="4" fontId="6" fillId="4" borderId="23" xfId="0" applyNumberFormat="1" applyFont="1" applyFill="1" applyBorder="1"/>
    <xf numFmtId="4" fontId="6" fillId="4" borderId="26" xfId="0" applyNumberFormat="1" applyFont="1" applyFill="1" applyBorder="1"/>
    <xf numFmtId="4" fontId="6" fillId="4" borderId="5" xfId="0" applyNumberFormat="1" applyFont="1" applyFill="1" applyBorder="1"/>
    <xf numFmtId="0" fontId="5" fillId="0" borderId="23" xfId="0" applyFont="1" applyFill="1" applyBorder="1"/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wrapText="1"/>
    </xf>
    <xf numFmtId="0" fontId="5" fillId="0" borderId="48" xfId="0" applyFont="1" applyBorder="1" applyAlignment="1">
      <alignment horizontal="right" wrapText="1"/>
    </xf>
    <xf numFmtId="0" fontId="5" fillId="0" borderId="48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37" xfId="0" applyFont="1" applyFill="1" applyBorder="1" applyProtection="1"/>
    <xf numFmtId="4" fontId="5" fillId="4" borderId="28" xfId="0" applyNumberFormat="1" applyFont="1" applyFill="1" applyBorder="1" applyProtection="1"/>
    <xf numFmtId="0" fontId="26" fillId="0" borderId="51" xfId="0" applyFont="1" applyBorder="1"/>
    <xf numFmtId="0" fontId="26" fillId="0" borderId="51" xfId="0" applyFont="1" applyBorder="1" applyAlignment="1">
      <alignment horizontal="right"/>
    </xf>
    <xf numFmtId="0" fontId="26" fillId="4" borderId="51" xfId="0" applyFont="1" applyFill="1" applyBorder="1"/>
    <xf numFmtId="0" fontId="26" fillId="6" borderId="51" xfId="0" applyFont="1" applyFill="1" applyBorder="1"/>
    <xf numFmtId="0" fontId="27" fillId="0" borderId="51" xfId="0" applyFont="1" applyBorder="1" applyAlignment="1">
      <alignment horizontal="right"/>
    </xf>
    <xf numFmtId="0" fontId="26" fillId="6" borderId="51" xfId="0" applyFont="1" applyFill="1" applyBorder="1" applyAlignment="1">
      <alignment horizontal="right"/>
    </xf>
    <xf numFmtId="0" fontId="27" fillId="6" borderId="51" xfId="0" applyFont="1" applyFill="1" applyBorder="1" applyAlignment="1">
      <alignment horizontal="right"/>
    </xf>
    <xf numFmtId="3" fontId="26" fillId="4" borderId="51" xfId="0" applyNumberFormat="1" applyFont="1" applyFill="1" applyBorder="1"/>
    <xf numFmtId="0" fontId="26" fillId="0" borderId="55" xfId="0" applyFont="1" applyBorder="1"/>
    <xf numFmtId="0" fontId="26" fillId="0" borderId="55" xfId="0" applyFont="1" applyBorder="1" applyAlignment="1">
      <alignment horizontal="right"/>
    </xf>
    <xf numFmtId="4" fontId="26" fillId="4" borderId="55" xfId="0" applyNumberFormat="1" applyFont="1" applyFill="1" applyBorder="1"/>
    <xf numFmtId="4" fontId="26" fillId="6" borderId="55" xfId="0" applyNumberFormat="1" applyFont="1" applyFill="1" applyBorder="1"/>
    <xf numFmtId="0" fontId="26" fillId="6" borderId="55" xfId="0" applyFont="1" applyFill="1" applyBorder="1"/>
    <xf numFmtId="0" fontId="28" fillId="6" borderId="55" xfId="0" applyFont="1" applyFill="1" applyBorder="1" applyAlignment="1">
      <alignment horizontal="right"/>
    </xf>
    <xf numFmtId="0" fontId="5" fillId="4" borderId="23" xfId="0" applyNumberFormat="1" applyFont="1" applyFill="1" applyBorder="1" applyAlignment="1">
      <alignment horizontal="right"/>
    </xf>
    <xf numFmtId="0" fontId="5" fillId="4" borderId="23" xfId="0" applyNumberFormat="1" applyFont="1" applyFill="1" applyBorder="1"/>
    <xf numFmtId="4" fontId="12" fillId="6" borderId="0" xfId="0" applyNumberFormat="1" applyFont="1" applyFill="1" applyBorder="1" applyAlignment="1">
      <alignment horizontal="right"/>
    </xf>
    <xf numFmtId="43" fontId="21" fillId="6" borderId="5" xfId="0" applyNumberFormat="1" applyFont="1" applyFill="1" applyBorder="1"/>
    <xf numFmtId="4" fontId="21" fillId="6" borderId="0" xfId="0" applyNumberFormat="1" applyFont="1" applyFill="1" applyBorder="1"/>
    <xf numFmtId="0" fontId="21" fillId="6" borderId="0" xfId="0" applyFont="1" applyFill="1" applyBorder="1"/>
    <xf numFmtId="0" fontId="30" fillId="0" borderId="0" xfId="5" quotePrefix="1" applyFont="1" applyFill="1" applyBorder="1" applyAlignment="1" applyProtection="1">
      <alignment vertical="center" wrapText="1"/>
    </xf>
    <xf numFmtId="0" fontId="30" fillId="0" borderId="0" xfId="5" quotePrefix="1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5" fillId="0" borderId="0" xfId="0" applyFont="1" applyAlignment="1">
      <alignment vertical="top"/>
    </xf>
    <xf numFmtId="0" fontId="5" fillId="0" borderId="7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5" fillId="0" borderId="23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5" borderId="42" xfId="0" applyFont="1" applyFill="1" applyBorder="1" applyAlignment="1" applyProtection="1">
      <protection locked="0"/>
    </xf>
    <xf numFmtId="0" fontId="12" fillId="0" borderId="0" xfId="0" applyFont="1" applyAlignment="1">
      <alignment horizontal="right" vertical="top"/>
    </xf>
    <xf numFmtId="0" fontId="17" fillId="8" borderId="43" xfId="0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/>
    </xf>
    <xf numFmtId="49" fontId="12" fillId="8" borderId="1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 wrapText="1" shrinkToFit="1"/>
    </xf>
    <xf numFmtId="0" fontId="24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right"/>
    </xf>
    <xf numFmtId="0" fontId="24" fillId="2" borderId="0" xfId="0" applyFont="1" applyFill="1" applyBorder="1" applyProtection="1"/>
    <xf numFmtId="0" fontId="19" fillId="2" borderId="0" xfId="0" applyFont="1" applyFill="1" applyAlignment="1" applyProtection="1">
      <alignment horizontal="right"/>
    </xf>
    <xf numFmtId="0" fontId="19" fillId="2" borderId="1" xfId="0" applyFont="1" applyFill="1" applyBorder="1" applyAlignment="1" applyProtection="1"/>
    <xf numFmtId="0" fontId="19" fillId="2" borderId="1" xfId="0" applyFont="1" applyFill="1" applyBorder="1" applyProtection="1"/>
    <xf numFmtId="0" fontId="19" fillId="2" borderId="1" xfId="0" applyFont="1" applyFill="1" applyBorder="1" applyAlignment="1" applyProtection="1">
      <alignment horizontal="left"/>
    </xf>
    <xf numFmtId="0" fontId="18" fillId="2" borderId="1" xfId="0" applyFont="1" applyFill="1" applyBorder="1" applyProtection="1"/>
    <xf numFmtId="0" fontId="18" fillId="2" borderId="0" xfId="0" applyFont="1" applyFill="1" applyBorder="1" applyProtection="1"/>
    <xf numFmtId="0" fontId="18" fillId="0" borderId="0" xfId="0" applyFont="1" applyProtection="1"/>
    <xf numFmtId="0" fontId="29" fillId="2" borderId="11" xfId="0" applyFont="1" applyFill="1" applyBorder="1" applyAlignment="1" applyProtection="1"/>
    <xf numFmtId="0" fontId="29" fillId="2" borderId="12" xfId="0" applyFont="1" applyFill="1" applyBorder="1" applyAlignment="1" applyProtection="1"/>
    <xf numFmtId="0" fontId="24" fillId="0" borderId="12" xfId="0" applyFont="1" applyBorder="1" applyProtection="1"/>
    <xf numFmtId="0" fontId="29" fillId="2" borderId="0" xfId="0" applyFont="1" applyFill="1" applyBorder="1" applyAlignment="1" applyProtection="1">
      <alignment horizontal="center"/>
    </xf>
    <xf numFmtId="0" fontId="29" fillId="2" borderId="4" xfId="0" applyFont="1" applyFill="1" applyBorder="1" applyAlignment="1" applyProtection="1">
      <alignment horizontal="left" vertical="center"/>
    </xf>
    <xf numFmtId="0" fontId="29" fillId="2" borderId="0" xfId="0" applyFont="1" applyFill="1" applyBorder="1" applyAlignment="1" applyProtection="1">
      <alignment horizontal="center" vertical="center"/>
    </xf>
    <xf numFmtId="0" fontId="24" fillId="0" borderId="0" xfId="0" applyFont="1" applyBorder="1" applyProtection="1"/>
    <xf numFmtId="0" fontId="29" fillId="2" borderId="5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9" fillId="2" borderId="14" xfId="0" applyFont="1" applyFill="1" applyBorder="1" applyAlignment="1" applyProtection="1">
      <alignment horizontal="left" vertical="center"/>
    </xf>
    <xf numFmtId="0" fontId="29" fillId="2" borderId="19" xfId="0" applyFont="1" applyFill="1" applyBorder="1" applyAlignment="1" applyProtection="1">
      <alignment horizontal="left" vertical="center"/>
    </xf>
    <xf numFmtId="0" fontId="29" fillId="0" borderId="6" xfId="0" applyFont="1" applyFill="1" applyBorder="1" applyAlignment="1" applyProtection="1">
      <alignment vertical="center"/>
    </xf>
    <xf numFmtId="4" fontId="29" fillId="0" borderId="6" xfId="0" applyNumberFormat="1" applyFont="1" applyFill="1" applyBorder="1" applyAlignment="1" applyProtection="1">
      <alignment vertical="center"/>
    </xf>
    <xf numFmtId="4" fontId="29" fillId="0" borderId="21" xfId="0" applyNumberFormat="1" applyFont="1" applyFill="1" applyBorder="1" applyAlignment="1" applyProtection="1">
      <alignment vertical="center"/>
    </xf>
    <xf numFmtId="0" fontId="24" fillId="0" borderId="19" xfId="0" applyFont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4" fontId="29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4" fontId="29" fillId="0" borderId="5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left" vertical="center"/>
    </xf>
    <xf numFmtId="4" fontId="24" fillId="0" borderId="0" xfId="0" applyNumberFormat="1" applyFont="1" applyFill="1" applyBorder="1" applyAlignment="1" applyProtection="1">
      <alignment vertical="center" wrapText="1"/>
    </xf>
    <xf numFmtId="4" fontId="24" fillId="0" borderId="5" xfId="0" applyNumberFormat="1" applyFont="1" applyFill="1" applyBorder="1" applyAlignment="1" applyProtection="1">
      <alignment vertical="center" wrapText="1"/>
    </xf>
    <xf numFmtId="0" fontId="29" fillId="2" borderId="27" xfId="0" applyFont="1" applyFill="1" applyBorder="1" applyAlignment="1" applyProtection="1">
      <alignment horizontal="left" vertical="center"/>
    </xf>
    <xf numFmtId="0" fontId="29" fillId="2" borderId="23" xfId="0" applyFont="1" applyFill="1" applyBorder="1" applyAlignment="1" applyProtection="1">
      <alignment horizontal="left" vertical="center"/>
    </xf>
    <xf numFmtId="0" fontId="29" fillId="0" borderId="26" xfId="0" applyFont="1" applyFill="1" applyBorder="1" applyAlignment="1" applyProtection="1">
      <alignment horizontal="left" vertical="center"/>
    </xf>
    <xf numFmtId="4" fontId="29" fillId="0" borderId="27" xfId="0" applyNumberFormat="1" applyFont="1" applyFill="1" applyBorder="1" applyAlignment="1" applyProtection="1">
      <alignment vertical="center"/>
    </xf>
    <xf numFmtId="4" fontId="29" fillId="0" borderId="22" xfId="0" applyNumberFormat="1" applyFont="1" applyFill="1" applyBorder="1" applyAlignment="1" applyProtection="1">
      <alignment vertical="center"/>
    </xf>
    <xf numFmtId="4" fontId="29" fillId="0" borderId="23" xfId="0" applyNumberFormat="1" applyFont="1" applyFill="1" applyBorder="1" applyAlignment="1" applyProtection="1">
      <alignment vertical="center"/>
    </xf>
    <xf numFmtId="0" fontId="24" fillId="0" borderId="23" xfId="0" applyFont="1" applyBorder="1" applyAlignment="1" applyProtection="1">
      <alignment vertical="center"/>
    </xf>
    <xf numFmtId="0" fontId="24" fillId="0" borderId="23" xfId="0" applyNumberFormat="1" applyFont="1" applyFill="1" applyBorder="1" applyAlignment="1" applyProtection="1">
      <alignment vertical="center" wrapText="1"/>
    </xf>
    <xf numFmtId="0" fontId="24" fillId="0" borderId="26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horizontal="right" vertical="center" wrapText="1"/>
    </xf>
    <xf numFmtId="4" fontId="2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2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/>
    <xf numFmtId="0" fontId="29" fillId="2" borderId="0" xfId="0" applyFont="1" applyFill="1" applyBorder="1" applyProtection="1"/>
    <xf numFmtId="0" fontId="29" fillId="2" borderId="0" xfId="0" applyFont="1" applyFill="1" applyBorder="1" applyAlignment="1" applyProtection="1">
      <alignment horizontal="right"/>
    </xf>
    <xf numFmtId="164" fontId="29" fillId="0" borderId="0" xfId="2" applyNumberFormat="1" applyFont="1" applyFill="1" applyBorder="1" applyAlignment="1" applyProtection="1"/>
    <xf numFmtId="0" fontId="29" fillId="2" borderId="0" xfId="0" applyFont="1" applyFill="1" applyBorder="1" applyAlignment="1" applyProtection="1"/>
    <xf numFmtId="0" fontId="24" fillId="0" borderId="0" xfId="0" applyFont="1" applyFill="1" applyBorder="1" applyProtection="1"/>
    <xf numFmtId="4" fontId="29" fillId="5" borderId="27" xfId="2" applyNumberFormat="1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9" fontId="29" fillId="0" borderId="0" xfId="3" applyFont="1" applyFill="1" applyBorder="1" applyAlignment="1" applyProtection="1">
      <alignment horizontal="right" vertical="center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9" fillId="2" borderId="1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  <xf numFmtId="0" fontId="19" fillId="2" borderId="1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 vertical="center"/>
    </xf>
    <xf numFmtId="10" fontId="29" fillId="0" borderId="0" xfId="3" applyNumberFormat="1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/>
    <xf numFmtId="4" fontId="29" fillId="0" borderId="0" xfId="0" applyNumberFormat="1" applyFont="1" applyFill="1" applyBorder="1" applyAlignment="1" applyProtection="1">
      <alignment horizontal="right"/>
    </xf>
    <xf numFmtId="0" fontId="24" fillId="0" borderId="0" xfId="0" applyFont="1" applyBorder="1" applyAlignment="1" applyProtection="1"/>
    <xf numFmtId="0" fontId="16" fillId="2" borderId="1" xfId="0" applyFont="1" applyFill="1" applyBorder="1" applyAlignment="1" applyProtection="1">
      <alignment horizontal="right"/>
    </xf>
    <xf numFmtId="0" fontId="16" fillId="2" borderId="1" xfId="0" applyFont="1" applyFill="1" applyBorder="1" applyAlignment="1" applyProtection="1">
      <alignment horizontal="right" vertical="center"/>
    </xf>
    <xf numFmtId="0" fontId="18" fillId="0" borderId="1" xfId="0" applyFont="1" applyBorder="1" applyProtection="1"/>
    <xf numFmtId="0" fontId="5" fillId="4" borderId="58" xfId="0" applyFont="1" applyFill="1" applyBorder="1"/>
    <xf numFmtId="0" fontId="5" fillId="4" borderId="59" xfId="0" applyFont="1" applyFill="1" applyBorder="1"/>
    <xf numFmtId="4" fontId="6" fillId="4" borderId="60" xfId="0" applyNumberFormat="1" applyFont="1" applyFill="1" applyBorder="1"/>
    <xf numFmtId="0" fontId="26" fillId="4" borderId="53" xfId="0" applyFont="1" applyFill="1" applyBorder="1"/>
    <xf numFmtId="4" fontId="26" fillId="4" borderId="57" xfId="0" applyNumberFormat="1" applyFont="1" applyFill="1" applyBorder="1"/>
    <xf numFmtId="4" fontId="5" fillId="4" borderId="5" xfId="0" applyNumberFormat="1" applyFont="1" applyFill="1" applyBorder="1"/>
    <xf numFmtId="4" fontId="6" fillId="5" borderId="5" xfId="0" applyNumberFormat="1" applyFont="1" applyFill="1" applyBorder="1" applyProtection="1">
      <protection locked="0"/>
    </xf>
    <xf numFmtId="4" fontId="5" fillId="4" borderId="26" xfId="0" applyNumberFormat="1" applyFont="1" applyFill="1" applyBorder="1"/>
    <xf numFmtId="4" fontId="25" fillId="0" borderId="5" xfId="0" applyNumberFormat="1" applyFont="1" applyFill="1" applyBorder="1" applyProtection="1"/>
    <xf numFmtId="49" fontId="16" fillId="2" borderId="0" xfId="0" applyNumberFormat="1" applyFont="1" applyFill="1" applyBorder="1" applyAlignment="1" applyProtection="1">
      <alignment horizontal="right"/>
    </xf>
    <xf numFmtId="43" fontId="2" fillId="0" borderId="0" xfId="2" applyFont="1"/>
    <xf numFmtId="43" fontId="10" fillId="0" borderId="0" xfId="2" applyFont="1"/>
    <xf numFmtId="164" fontId="29" fillId="2" borderId="0" xfId="0" applyNumberFormat="1" applyFont="1" applyFill="1" applyBorder="1" applyAlignment="1" applyProtection="1">
      <alignment vertical="center"/>
    </xf>
    <xf numFmtId="0" fontId="2" fillId="7" borderId="61" xfId="1" applyNumberFormat="1" applyFont="1" applyFill="1" applyBorder="1" applyAlignment="1"/>
    <xf numFmtId="43" fontId="2" fillId="7" borderId="61" xfId="2" applyNumberFormat="1" applyFont="1" applyFill="1" applyBorder="1"/>
    <xf numFmtId="0" fontId="2" fillId="0" borderId="61" xfId="1" applyNumberFormat="1" applyFont="1" applyBorder="1" applyAlignment="1"/>
    <xf numFmtId="43" fontId="2" fillId="0" borderId="61" xfId="2" applyNumberFormat="1" applyFont="1" applyBorder="1"/>
    <xf numFmtId="0" fontId="11" fillId="7" borderId="61" xfId="1" applyNumberFormat="1" applyFont="1" applyFill="1" applyBorder="1" applyAlignment="1"/>
    <xf numFmtId="0" fontId="1" fillId="0" borderId="61" xfId="0" applyFont="1" applyBorder="1"/>
    <xf numFmtId="0" fontId="32" fillId="9" borderId="0" xfId="1" applyNumberFormat="1" applyFont="1" applyFill="1" applyBorder="1" applyAlignment="1"/>
    <xf numFmtId="0" fontId="34" fillId="9" borderId="0" xfId="1" applyNumberFormat="1" applyFont="1" applyFill="1" applyBorder="1" applyAlignment="1"/>
    <xf numFmtId="43" fontId="35" fillId="9" borderId="0" xfId="2" applyNumberFormat="1" applyFont="1" applyFill="1" applyBorder="1"/>
    <xf numFmtId="9" fontId="34" fillId="9" borderId="0" xfId="1" applyNumberFormat="1" applyFont="1" applyFill="1" applyBorder="1" applyAlignment="1"/>
    <xf numFmtId="43" fontId="36" fillId="10" borderId="61" xfId="2" applyFont="1" applyFill="1" applyBorder="1"/>
    <xf numFmtId="43" fontId="36" fillId="10" borderId="61" xfId="2" applyFont="1" applyFill="1" applyBorder="1" applyAlignment="1">
      <alignment horizontal="center"/>
    </xf>
    <xf numFmtId="43" fontId="18" fillId="10" borderId="61" xfId="2" applyFont="1" applyFill="1" applyBorder="1" applyAlignment="1">
      <alignment horizontal="center"/>
    </xf>
    <xf numFmtId="43" fontId="18" fillId="0" borderId="61" xfId="2" applyFont="1" applyFill="1" applyBorder="1"/>
    <xf numFmtId="43" fontId="18" fillId="0" borderId="61" xfId="2" applyFont="1" applyFill="1" applyBorder="1" applyAlignment="1">
      <alignment horizontal="center"/>
    </xf>
    <xf numFmtId="43" fontId="18" fillId="0" borderId="61" xfId="2" applyFont="1" applyFill="1" applyBorder="1" applyAlignment="1">
      <alignment horizontal="center" vertical="center"/>
    </xf>
    <xf numFmtId="43" fontId="36" fillId="11" borderId="61" xfId="2" applyFont="1" applyFill="1" applyBorder="1"/>
    <xf numFmtId="43" fontId="18" fillId="11" borderId="61" xfId="2" applyFont="1" applyFill="1" applyBorder="1" applyAlignment="1">
      <alignment horizontal="center"/>
    </xf>
    <xf numFmtId="43" fontId="36" fillId="0" borderId="61" xfId="2" applyFont="1" applyFill="1" applyBorder="1"/>
    <xf numFmtId="43" fontId="36" fillId="0" borderId="61" xfId="2" applyFont="1" applyFill="1" applyBorder="1" applyAlignment="1">
      <alignment horizontal="center"/>
    </xf>
    <xf numFmtId="43" fontId="36" fillId="0" borderId="61" xfId="2" applyFont="1" applyFill="1" applyBorder="1" applyAlignment="1">
      <alignment horizontal="center" vertical="center"/>
    </xf>
    <xf numFmtId="43" fontId="36" fillId="11" borderId="0" xfId="2" applyFont="1" applyFill="1" applyBorder="1"/>
    <xf numFmtId="43" fontId="18" fillId="11" borderId="0" xfId="2" applyFont="1" applyFill="1" applyBorder="1" applyAlignment="1">
      <alignment horizontal="center"/>
    </xf>
    <xf numFmtId="43" fontId="36" fillId="12" borderId="61" xfId="2" applyFont="1" applyFill="1" applyBorder="1"/>
    <xf numFmtId="43" fontId="18" fillId="12" borderId="61" xfId="2" applyFont="1" applyFill="1" applyBorder="1" applyAlignment="1">
      <alignment horizontal="center"/>
    </xf>
    <xf numFmtId="43" fontId="18" fillId="0" borderId="61" xfId="2" applyFont="1" applyBorder="1" applyAlignment="1">
      <alignment horizontal="center"/>
    </xf>
    <xf numFmtId="43" fontId="18" fillId="13" borderId="61" xfId="2" applyFont="1" applyFill="1" applyBorder="1"/>
    <xf numFmtId="43" fontId="18" fillId="13" borderId="61" xfId="2" applyFont="1" applyFill="1" applyBorder="1" applyAlignment="1">
      <alignment horizontal="center"/>
    </xf>
    <xf numFmtId="43" fontId="36" fillId="11" borderId="61" xfId="2" applyFont="1" applyFill="1" applyBorder="1" applyAlignment="1">
      <alignment horizontal="center"/>
    </xf>
    <xf numFmtId="43" fontId="36" fillId="13" borderId="61" xfId="2" applyFont="1" applyFill="1" applyBorder="1"/>
    <xf numFmtId="43" fontId="36" fillId="13" borderId="61" xfId="2" applyFont="1" applyFill="1" applyBorder="1" applyAlignment="1">
      <alignment horizontal="center" vertical="center"/>
    </xf>
    <xf numFmtId="43" fontId="18" fillId="11" borderId="0" xfId="2" applyFont="1" applyFill="1" applyBorder="1"/>
    <xf numFmtId="43" fontId="18" fillId="11" borderId="61" xfId="2" applyFont="1" applyFill="1" applyBorder="1"/>
    <xf numFmtId="43" fontId="18" fillId="14" borderId="61" xfId="2" applyFont="1" applyFill="1" applyBorder="1"/>
    <xf numFmtId="43" fontId="18" fillId="14" borderId="61" xfId="2" applyFont="1" applyFill="1" applyBorder="1" applyAlignment="1">
      <alignment horizontal="center"/>
    </xf>
    <xf numFmtId="43" fontId="18" fillId="14" borderId="61" xfId="2" applyFont="1" applyFill="1" applyBorder="1" applyAlignment="1">
      <alignment horizontal="center" vertical="center"/>
    </xf>
    <xf numFmtId="43" fontId="18" fillId="10" borderId="61" xfId="2" applyFont="1" applyFill="1" applyBorder="1"/>
    <xf numFmtId="43" fontId="18" fillId="13" borderId="61" xfId="2" applyFont="1" applyFill="1" applyBorder="1" applyAlignment="1">
      <alignment horizontal="center" vertical="center"/>
    </xf>
    <xf numFmtId="43" fontId="36" fillId="14" borderId="61" xfId="2" applyFont="1" applyFill="1" applyBorder="1"/>
    <xf numFmtId="43" fontId="36" fillId="14" borderId="61" xfId="2" applyFont="1" applyFill="1" applyBorder="1" applyAlignment="1">
      <alignment horizontal="center" vertical="center"/>
    </xf>
    <xf numFmtId="43" fontId="3" fillId="0" borderId="61" xfId="2" applyFont="1" applyFill="1" applyBorder="1"/>
    <xf numFmtId="43" fontId="3" fillId="0" borderId="61" xfId="2" applyFont="1" applyFill="1" applyBorder="1" applyAlignment="1">
      <alignment horizontal="center"/>
    </xf>
    <xf numFmtId="43" fontId="36" fillId="13" borderId="61" xfId="2" applyFont="1" applyFill="1" applyBorder="1" applyAlignment="1">
      <alignment horizontal="center"/>
    </xf>
    <xf numFmtId="43" fontId="36" fillId="14" borderId="61" xfId="2" applyFont="1" applyFill="1" applyBorder="1" applyAlignment="1">
      <alignment horizontal="center"/>
    </xf>
    <xf numFmtId="43" fontId="18" fillId="13" borderId="61" xfId="6" applyNumberFormat="1" applyFont="1" applyFill="1" applyBorder="1" applyAlignment="1"/>
    <xf numFmtId="43" fontId="18" fillId="11" borderId="61" xfId="2" applyFont="1" applyFill="1" applyBorder="1" applyAlignment="1">
      <alignment horizontal="center" vertical="center"/>
    </xf>
    <xf numFmtId="43" fontId="18" fillId="13" borderId="61" xfId="2" applyFont="1" applyFill="1" applyBorder="1" applyAlignment="1"/>
    <xf numFmtId="9" fontId="18" fillId="13" borderId="61" xfId="6" applyFont="1" applyFill="1" applyBorder="1" applyAlignment="1"/>
    <xf numFmtId="0" fontId="37" fillId="0" borderId="0" xfId="1" applyFont="1"/>
    <xf numFmtId="0" fontId="37" fillId="0" borderId="0" xfId="1" applyNumberFormat="1" applyFont="1" applyFill="1"/>
    <xf numFmtId="0" fontId="22" fillId="0" borderId="0" xfId="0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Protection="1">
      <protection locked="0"/>
    </xf>
    <xf numFmtId="4" fontId="6" fillId="4" borderId="0" xfId="0" applyNumberFormat="1" applyFont="1" applyFill="1" applyBorder="1"/>
    <xf numFmtId="4" fontId="12" fillId="0" borderId="0" xfId="0" applyNumberFormat="1" applyFont="1" applyBorder="1"/>
    <xf numFmtId="4" fontId="12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/>
    <xf numFmtId="0" fontId="31" fillId="2" borderId="1" xfId="0" applyFont="1" applyFill="1" applyBorder="1" applyAlignment="1" applyProtection="1">
      <alignment horizontal="center" vertical="center"/>
    </xf>
    <xf numFmtId="0" fontId="29" fillId="15" borderId="8" xfId="0" applyFont="1" applyFill="1" applyBorder="1" applyAlignment="1" applyProtection="1">
      <alignment horizontal="center" vertical="center"/>
    </xf>
    <xf numFmtId="0" fontId="2" fillId="0" borderId="61" xfId="1" applyNumberFormat="1" applyFont="1" applyFill="1" applyBorder="1" applyAlignment="1"/>
    <xf numFmtId="0" fontId="33" fillId="0" borderId="61" xfId="0" applyFont="1" applyFill="1" applyBorder="1"/>
    <xf numFmtId="0" fontId="11" fillId="0" borderId="61" xfId="1" applyNumberFormat="1" applyFont="1" applyFill="1" applyBorder="1" applyAlignment="1"/>
    <xf numFmtId="43" fontId="2" fillId="0" borderId="61" xfId="2" applyNumberFormat="1" applyFont="1" applyFill="1" applyBorder="1"/>
    <xf numFmtId="0" fontId="2" fillId="7" borderId="61" xfId="1" quotePrefix="1" applyNumberFormat="1" applyFont="1" applyFill="1" applyBorder="1" applyAlignment="1"/>
    <xf numFmtId="0" fontId="17" fillId="8" borderId="47" xfId="0" applyFont="1" applyFill="1" applyBorder="1" applyAlignment="1" applyProtection="1">
      <alignment horizontal="center" vertical="center" wrapText="1"/>
    </xf>
    <xf numFmtId="0" fontId="17" fillId="8" borderId="7" xfId="0" applyFont="1" applyFill="1" applyBorder="1" applyAlignment="1" applyProtection="1">
      <alignment horizontal="center" vertical="center"/>
    </xf>
    <xf numFmtId="0" fontId="17" fillId="8" borderId="3" xfId="0" applyFont="1" applyFill="1" applyBorder="1" applyAlignment="1" applyProtection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5" fillId="5" borderId="0" xfId="0" applyFont="1" applyFill="1" applyBorder="1" applyAlignment="1" applyProtection="1">
      <alignment horizontal="center" vertical="center"/>
      <protection locked="0"/>
    </xf>
    <xf numFmtId="4" fontId="5" fillId="0" borderId="3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26" fillId="0" borderId="52" xfId="0" applyNumberFormat="1" applyFont="1" applyBorder="1" applyAlignment="1">
      <alignment horizontal="center" vertical="center"/>
    </xf>
    <xf numFmtId="4" fontId="26" fillId="0" borderId="56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26" fillId="0" borderId="53" xfId="0" applyNumberFormat="1" applyFont="1" applyBorder="1" applyAlignment="1">
      <alignment horizontal="center" vertical="center"/>
    </xf>
    <xf numFmtId="4" fontId="26" fillId="0" borderId="5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2" fillId="0" borderId="22" xfId="0" applyFont="1" applyFill="1" applyBorder="1" applyAlignment="1" applyProtection="1">
      <alignment horizontal="left"/>
      <protection locked="0"/>
    </xf>
    <xf numFmtId="0" fontId="22" fillId="0" borderId="23" xfId="0" applyFont="1" applyFill="1" applyBorder="1" applyAlignment="1" applyProtection="1">
      <alignment horizontal="left"/>
      <protection locked="0"/>
    </xf>
    <xf numFmtId="0" fontId="24" fillId="2" borderId="6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left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 wrapText="1" shrinkToFit="1"/>
    </xf>
    <xf numFmtId="14" fontId="19" fillId="5" borderId="1" xfId="0" applyNumberFormat="1" applyFont="1" applyFill="1" applyBorder="1" applyAlignment="1" applyProtection="1">
      <alignment horizontal="center"/>
      <protection locked="0"/>
    </xf>
    <xf numFmtId="0" fontId="29" fillId="2" borderId="12" xfId="0" applyFont="1" applyFill="1" applyBorder="1" applyAlignment="1" applyProtection="1">
      <alignment horizontal="center"/>
    </xf>
    <xf numFmtId="0" fontId="29" fillId="2" borderId="13" xfId="0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5" borderId="46" xfId="0" applyFont="1" applyFill="1" applyBorder="1" applyAlignment="1" applyProtection="1">
      <alignment horizontal="center" vertical="center" shrinkToFit="1"/>
      <protection locked="0"/>
    </xf>
    <xf numFmtId="0" fontId="5" fillId="5" borderId="45" xfId="0" applyFont="1" applyFill="1" applyBorder="1" applyAlignment="1" applyProtection="1">
      <alignment horizontal="center" vertical="center" shrinkToFi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29" fillId="5" borderId="0" xfId="0" quotePrefix="1" applyFont="1" applyFill="1" applyBorder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 horizontal="center" vertical="center"/>
    </xf>
  </cellXfs>
  <cellStyles count="7">
    <cellStyle name="Komma" xfId="2" builtinId="3"/>
    <cellStyle name="Komma 2" xfId="4" xr:uid="{A0D9AB23-4397-4028-A07D-B3A17F4C8485}"/>
    <cellStyle name="Link" xfId="5" builtinId="8"/>
    <cellStyle name="Prozent" xfId="3" builtinId="5"/>
    <cellStyle name="Prozent 2" xfId="6" xr:uid="{1E952E50-FED7-47FE-AB1A-33956B79A2DD}"/>
    <cellStyle name="Standard" xfId="0" builtinId="0"/>
    <cellStyle name="Standard 2" xfId="1" xr:uid="{00000000-0005-0000-0000-000002000000}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indexed="64"/>
          <bgColor theme="5" tint="0.5999938962981048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indexed="64"/>
          <bgColor theme="5" tint="0.5999938962981048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AFEC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109221</xdr:rowOff>
    </xdr:from>
    <xdr:to>
      <xdr:col>5</xdr:col>
      <xdr:colOff>74068</xdr:colOff>
      <xdr:row>3</xdr:row>
      <xdr:rowOff>19051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762479-3CE0-4C32-9661-59BE30E2E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109221"/>
          <a:ext cx="2864893" cy="709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551815</xdr:colOff>
      <xdr:row>0</xdr:row>
      <xdr:rowOff>19050</xdr:rowOff>
    </xdr:from>
    <xdr:to>
      <xdr:col>10</xdr:col>
      <xdr:colOff>113665</xdr:colOff>
      <xdr:row>3</xdr:row>
      <xdr:rowOff>95631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B02F0E-EAD4-4252-9624-08D2EE960D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76"/>
        <a:stretch/>
      </xdr:blipFill>
      <xdr:spPr>
        <a:xfrm>
          <a:off x="6581140" y="19050"/>
          <a:ext cx="2476500" cy="876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162560</xdr:colOff>
      <xdr:row>0</xdr:row>
      <xdr:rowOff>90170</xdr:rowOff>
    </xdr:from>
    <xdr:to>
      <xdr:col>4</xdr:col>
      <xdr:colOff>322353</xdr:colOff>
      <xdr:row>0</xdr:row>
      <xdr:rowOff>800100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C7E8161-6B47-4714-AF45-03B2AE864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560" y="90170"/>
          <a:ext cx="2864893" cy="709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28574</xdr:rowOff>
    </xdr:from>
    <xdr:to>
      <xdr:col>12</xdr:col>
      <xdr:colOff>142875</xdr:colOff>
      <xdr:row>1</xdr:row>
      <xdr:rowOff>57530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00C2A1-7BA0-406D-85B4-192C3128DE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76"/>
        <a:stretch/>
      </xdr:blipFill>
      <xdr:spPr>
        <a:xfrm>
          <a:off x="4772025" y="28574"/>
          <a:ext cx="2476500" cy="876681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57</xdr:row>
      <xdr:rowOff>119063</xdr:rowOff>
    </xdr:from>
    <xdr:to>
      <xdr:col>11</xdr:col>
      <xdr:colOff>98705</xdr:colOff>
      <xdr:row>62</xdr:row>
      <xdr:rowOff>155933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51FBD98-732F-4EB8-894B-16E1CB968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2575" y="9424988"/>
          <a:ext cx="1003580" cy="10179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B72A8D-9ECA-41BC-8DEE-A27EC1B7C6E2}" name="Tabelle1" displayName="Tabelle1" ref="A1:BZ78" totalsRowShown="0" headerRowDxfId="78" dataDxfId="77" tableBorderDxfId="76" headerRowCellStyle="Standard 2" dataCellStyle="Standard 2">
  <autoFilter ref="A1:BZ78" xr:uid="{0FB72A8D-9ECA-41BC-8DEE-A27EC1B7C6E2}"/>
  <sortState xmlns:xlrd2="http://schemas.microsoft.com/office/spreadsheetml/2017/richdata2" ref="A2:BZ78">
    <sortCondition ref="A1:A78"/>
  </sortState>
  <tableColumns count="78">
    <tableColumn id="1" xr3:uid="{0796E115-69E3-49E4-8A0D-E0BC1DCBDF60}" name="Erasmus Code" dataDxfId="75" dataCellStyle="Standard 2"/>
    <tableColumn id="2" xr3:uid="{342D958E-EF78-4CC2-B889-C884BC5199C3}" name="InstName" dataDxfId="74" dataCellStyle="Standard 2"/>
    <tableColumn id="3" xr3:uid="{785DC69A-C003-41A0-BAB8-5B8ECFC62EA5}" name="OID" dataDxfId="73" dataCellStyle="Standard 2"/>
    <tableColumn id="4" xr3:uid="{441C778E-4B53-4253-8946-4827044D79B6}" name="ProjectCode" dataDxfId="72" dataCellStyle="Standard 2"/>
    <tableColumn id="5" xr3:uid="{B6F0D2BE-8649-4252-AF73-A7751049816E}" name="GZ" dataDxfId="71" dataCellStyle="Standard 2"/>
    <tableColumn id="6" xr3:uid="{B0EAF655-76CB-4907-AF2E-E7B278C11327}" name="Legal Representative" dataDxfId="70" dataCellStyle="Standard 2"/>
    <tableColumn id="7" xr3:uid="{64CA6D39-51C1-457D-9A48-4F92A9005C06}" name="Legal Representative Email" dataDxfId="69" dataCellStyle="Standard 2"/>
    <tableColumn id="8" xr3:uid="{890ACD1A-F9A4-41A8-A18A-6310678C898A}" name="Legal Representative2" dataDxfId="68" dataCellStyle="Standard 2"/>
    <tableColumn id="9" xr3:uid="{E770E9B2-7615-4A89-886C-F9D29ECFEB5F}" name="Legal Representative Email2" dataDxfId="67" dataCellStyle="Standard 2"/>
    <tableColumn id="10" xr3:uid="{FD2DC81D-C7BD-4C32-A58F-8232C12486E2}" name="SMS_Mob" dataDxfId="66" dataCellStyle="Standard 2"/>
    <tableColumn id="11" xr3:uid="{1001B057-9293-46BB-BF26-FC26092C88F7}" name="SMS_t" dataDxfId="65" dataCellStyle="Standard 2"/>
    <tableColumn id="12" xr3:uid="{03CBA8E6-39E6-4B6A-B92F-B9DF1B441616}" name="SMS_€" dataDxfId="64" dataCellStyle="Standard 2"/>
    <tableColumn id="13" xr3:uid="{6A7ECCDF-4AD6-4236-82E2-382B5ED277FC}" name="SMT_Mob" dataDxfId="63" dataCellStyle="Standard 2"/>
    <tableColumn id="14" xr3:uid="{4CCDDD9F-C533-4018-AE32-464DB84B6E8B}" name="SMT_t" dataDxfId="62" dataCellStyle="Standard 2"/>
    <tableColumn id="15" xr3:uid="{A4FB68D3-923A-4C49-99DD-8BC950AAAEE1}" name="SMT_€" dataDxfId="61" dataCellStyle="Standard 2"/>
    <tableColumn id="16" xr3:uid="{066C6187-B20F-49A1-BCF0-D890AD0DCFAC}" name="STA_Mob" dataDxfId="60" dataCellStyle="Standard 2"/>
    <tableColumn id="17" xr3:uid="{4BA335DB-6214-4107-B8F4-C18CF1933203}" name="STA_t" dataDxfId="59" dataCellStyle="Standard 2"/>
    <tableColumn id="18" xr3:uid="{E2E671D3-96B7-4CBD-B72C-77396EBD1183}" name="STA_€" dataDxfId="58" dataCellStyle="Standard 2"/>
    <tableColumn id="19" xr3:uid="{2D84DF0E-CC76-408F-A514-C1C1BF9492B0}" name="STT_Mob" dataDxfId="57" dataCellStyle="Standard 2"/>
    <tableColumn id="20" xr3:uid="{E7BB740C-3EAC-448A-9E85-E54E99826F4B}" name="STT_t" dataDxfId="56" dataCellStyle="Standard 2"/>
    <tableColumn id="21" xr3:uid="{B561BC59-9D5F-4FB0-B2CA-6C6215B6908E}" name="STT_€" dataDxfId="55" dataCellStyle="Standard 2"/>
    <tableColumn id="22" xr3:uid="{0C244AAE-3F4A-49A8-A206-DE26C93BDB98}" name="BIP 1 Mob" dataDxfId="54" dataCellStyle="Standard 2"/>
    <tableColumn id="23" xr3:uid="{00E9BA98-2417-4286-9CAB-05BA4A5D6703}" name="BIP 1 €" dataDxfId="53" dataCellStyle="Standard 2"/>
    <tableColumn id="24" xr3:uid="{55F628DA-0A75-4A33-A47B-FAECB79542FB}" name="BIP 2 Mob" dataDxfId="52" dataCellStyle="Standard 2"/>
    <tableColumn id="25" xr3:uid="{C2DAA964-F490-4B59-8591-DBC46E26B587}" name="BIP 2 €" dataDxfId="51" dataCellStyle="Standard 2"/>
    <tableColumn id="26" xr3:uid="{C55A7CBA-665A-4767-B29F-53DA075F0460}" name="BIP 3 Mob" dataDxfId="50" dataCellStyle="Standard 2"/>
    <tableColumn id="27" xr3:uid="{804ABA4D-6C53-46B0-B13C-2F8245FDCFB3}" name="BIP 3 €" dataDxfId="49" dataCellStyle="Standard 2"/>
    <tableColumn id="28" xr3:uid="{9D5CDFA9-A719-44FF-80C8-74445448A74E}" name="BIP 4 Mob" dataDxfId="48" dataCellStyle="Standard 2"/>
    <tableColumn id="29" xr3:uid="{36EA47CD-C199-45A0-AD40-C9D1ED903FC0}" name="BIP 4 €" dataDxfId="47" dataCellStyle="Standard 2"/>
    <tableColumn id="30" xr3:uid="{F3CCEB85-E3AA-4A3A-9CA3-97FD86FC1927}" name="BIP 5 Mob" dataDxfId="46" dataCellStyle="Standard 2"/>
    <tableColumn id="31" xr3:uid="{A45A2040-8975-4A4C-90DF-DCAF03CD4BED}" name="BIP 5 €" dataDxfId="45" dataCellStyle="Standard 2"/>
    <tableColumn id="78" xr3:uid="{3E318399-C0DA-475F-9405-EF180BC12338}" name="BIP 6 Mob" dataDxfId="44" dataCellStyle="Standard 2"/>
    <tableColumn id="77" xr3:uid="{97D59C7F-7B91-4B21-A885-602FC3A95D7F}" name="BIP 6 €" dataDxfId="43" dataCellStyle="Standard 2"/>
    <tableColumn id="32" xr3:uid="{42C98AAD-2DE6-41CB-9B94-192674179256}" name="IncS_Part Mob" dataDxfId="42" dataCellStyle="Standard 2"/>
    <tableColumn id="33" xr3:uid="{1F95B1C4-4AD0-4813-8678-ABF80E2B6EFA}" name="IncS_Part €" dataDxfId="41" dataCellStyle="Standard 2"/>
    <tableColumn id="34" xr3:uid="{E6502BA8-407D-42AA-B711-1ACF55C1E993}" name="IncS_HEI Mob" dataDxfId="40" dataCellStyle="Standard 2"/>
    <tableColumn id="35" xr3:uid="{DDDB943E-FC42-4D8A-9B7B-098FEFAF620D}" name="IncS_HEI €" dataDxfId="39" dataCellStyle="Standard 2"/>
    <tableColumn id="36" xr3:uid="{E39CED5D-E1D7-45B3-B90E-C3E6B38FB109}" name="Except_Costs €" dataDxfId="38" dataCellStyle="Standard 2"/>
    <tableColumn id="37" xr3:uid="{EBDD8CDB-4B05-4E71-91E7-358F2B2E7809}" name="OS_€" dataDxfId="37" dataCellStyle="Standard 2"/>
    <tableColumn id="38" xr3:uid="{C227DDD5-BE1D-451A-83B6-2A6605E24A15}" name="OS_Mob" dataDxfId="36" dataCellStyle="Standard 2"/>
    <tableColumn id="39" xr3:uid="{61200FEB-1A05-440B-8F65-48B1B24FFF61}" name="TOTAL GRANT" dataDxfId="35" dataCellStyle="Komma"/>
    <tableColumn id="40" xr3:uid="{C68DD22C-275F-437B-93BD-F5F3BCFDBF88}" name="Kontrolle" dataDxfId="34" dataCellStyle="Standard 2"/>
    <tableColumn id="41" xr3:uid="{6BB96625-D285-4A8D-A301-682A86403C5A}" name="Diff" dataDxfId="33" dataCellStyle="Standard 2"/>
    <tableColumn id="42" xr3:uid="{FBB2F14C-E984-4A11-98CF-A813582F4089}" name="Auszahlung" dataDxfId="32" dataCellStyle="Standard 2"/>
    <tableColumn id="43" xr3:uid="{7063F912-6E09-4F9A-81BA-7A30D2724397}" name="80%" dataDxfId="31" dataCellStyle="Standard 2"/>
    <tableColumn id="44" xr3:uid="{2FA2EC50-6CCC-4422-A4BB-5BAA731EA26C}" name="40%" dataDxfId="30" dataCellStyle="Standard 2"/>
    <tableColumn id="45" xr3:uid="{D56DC9C0-1BFC-406B-BBF3-31D42051543E}" name="20%" dataDxfId="29" dataCellStyle="Standard 2"/>
    <tableColumn id="46" xr3:uid="{EEAE38AA-B3F9-47FC-892B-2B8129644B54}" name="PP1" dataDxfId="28" dataCellStyle="Komma"/>
    <tableColumn id="47" xr3:uid="{70CB02D7-436C-4E5F-810B-F61B8E157961}" name="PP1_e" dataDxfId="27" dataCellStyle="Komma"/>
    <tableColumn id="48" xr3:uid="{469878ED-6C2E-4D09-A07B-CB9E6409A4C1}" name="PP2" dataDxfId="26" dataCellStyle="Komma"/>
    <tableColumn id="49" xr3:uid="{2B3C9F91-D062-4060-AFF0-6F6589AAC87A}" name="PP2_e" dataDxfId="25" dataCellStyle="Komma"/>
    <tableColumn id="50" xr3:uid="{A16CDADC-634A-4BBD-9ECC-E4C322587056}" name="PP3"/>
    <tableColumn id="51" xr3:uid="{A8DB7B2A-935B-4ABF-AFC0-C0795D89270C}" name="PP3_e"/>
    <tableColumn id="52" xr3:uid="{526E0AD9-2293-42B7-83E2-86DD0860573C}" name="PP4" dataDxfId="24" dataCellStyle="Komma"/>
    <tableColumn id="53" xr3:uid="{752FC502-E096-4884-B9AB-CE04EBBBF057}" name="PP4_e" dataDxfId="23" dataCellStyle="Komma"/>
    <tableColumn id="54" xr3:uid="{046B3D06-1164-461F-AEAF-5AAAC91471C2}" name="PP5" dataDxfId="22" dataCellStyle="Komma"/>
    <tableColumn id="55" xr3:uid="{D95231B9-1D14-4C95-BC22-C90802A553CB}" name="PP5_e" dataDxfId="21" dataCellStyle="Komma"/>
    <tableColumn id="56" xr3:uid="{6E5D1793-A593-4DAE-B4F6-45FCAB217C87}" name="PP6" dataDxfId="20" dataCellStyle="Komma"/>
    <tableColumn id="57" xr3:uid="{A7A0028B-2E01-430F-86D3-376296CBBD2A}" name="PP6_e" dataDxfId="19" dataCellStyle="Komma"/>
    <tableColumn id="58" xr3:uid="{BEA76C6E-7434-4F98-8DFB-9185F532BAFE}" name="PP7" dataDxfId="18" dataCellStyle="Komma"/>
    <tableColumn id="59" xr3:uid="{EE159473-F15A-46C2-A608-5B324109BC6D}" name="PP7_e" dataDxfId="17" dataCellStyle="Komma"/>
    <tableColumn id="60" xr3:uid="{FA5E4EB5-9CC2-40C1-929F-EB5431788B73}" name="PP8" dataDxfId="16" dataCellStyle="Komma"/>
    <tableColumn id="61" xr3:uid="{F04B2BC4-55DB-4DE9-8246-DC3760563471}" name="PP8_e" dataDxfId="15" dataCellStyle="Komma"/>
    <tableColumn id="62" xr3:uid="{74FACF34-EF80-44CE-BDB0-1288E469A86F}" name="PP9" dataDxfId="14" dataCellStyle="Komma"/>
    <tableColumn id="63" xr3:uid="{9150EA5F-8B82-4568-8188-A6D8580B267B}" name="PP9_e" dataDxfId="13" dataCellStyle="Komma"/>
    <tableColumn id="64" xr3:uid="{82D76FE3-B375-4019-AB3A-D18FC2FCE60F}" name="PP10" dataDxfId="12" dataCellStyle="Komma"/>
    <tableColumn id="65" xr3:uid="{D673D185-9B69-4A53-99B5-FD1FF31EC862}" name="PP10_e" dataDxfId="11" dataCellStyle="Komma"/>
    <tableColumn id="66" xr3:uid="{692700F3-A3B3-4F67-85F6-9932293F236D}" name="FP" dataDxfId="10" dataCellStyle="Komma"/>
    <tableColumn id="67" xr3:uid="{07BB4304-3310-43D9-8924-3CF30EF0CC12}" name="FP_e" dataDxfId="9" dataCellStyle="Komma"/>
    <tableColumn id="68" xr3:uid="{0F2962DE-12D3-44B7-95BF-499819FAE39E}" name="CFP" dataDxfId="8" dataCellStyle="Komma"/>
    <tableColumn id="69" xr3:uid="{E9A7786E-9F48-4922-B8E3-FD72B511A001}" name="CFP_e" dataDxfId="7" dataCellStyle="Komma"/>
    <tableColumn id="70" xr3:uid="{8411BEE7-DDAC-4B11-AC23-A92ECFF67E5E}" name="Saldo_P" dataDxfId="6" dataCellStyle="Komma">
      <calculatedColumnFormula>IF('Daten 2021'!$AW2="x",'Daten 2021'!$AV2,0)+IF('Daten 2021'!$AY2="x",'Daten 2021'!$AX2,0)+IF('Daten 2021'!$BA2="x",'Daten 2021'!$AZ2,0)+IF('Daten 2021'!$BC2="x",'Daten 2021'!$BB2,0)+IF('Daten 2021'!$BE2="x",'Daten 2021'!$BD2,0)+IF('Daten 2021'!$BG2="x",'Daten 2021'!$BF2,0)+IF('Daten 2021'!$BI2="x",'Daten 2021'!$BH2,0)+IF('Daten 2021'!$BK2="x",'Daten 2021'!$BJ2,0)+IF('Daten 2021'!$BM2="x",'Daten 2021'!$BL2,0)+IF('Daten 2021'!$BO2="x",'Daten 2021'!$BN2,0)+IF('Daten 2021'!$BQ2="x",'Daten 2021'!$BP2,0)+IF('Daten 2021'!$BS2="x",'Daten 2021'!$BR2,0)</calculatedColumnFormula>
    </tableColumn>
    <tableColumn id="71" xr3:uid="{A070219C-A3E8-46F6-8C85-E6636C988205}" name="Laufzeit Projekt" dataDxfId="5" dataCellStyle="Standard 2"/>
    <tableColumn id="72" xr3:uid="{FDBF26FB-414B-4726-A64E-6979436172F9}" name="CP VN" dataDxfId="4" dataCellStyle="Standard 2"/>
    <tableColumn id="73" xr3:uid="{E215F3A5-4F50-4115-AB00-61E56DC90C91}" name="CP NN" dataDxfId="3" dataCellStyle="Standard 2"/>
    <tableColumn id="74" xr3:uid="{CD6F3656-0474-4A2D-8B86-D5058581C5D0}" name="CP_gender" dataDxfId="2" dataCellStyle="Standard 2"/>
    <tableColumn id="75" xr3:uid="{581199C0-567E-4DB8-BF07-17B00C2CD793}" name="CP_email" dataDxfId="1" dataCellStyle="Standard 2"/>
    <tableColumn id="76" xr3:uid="{1599A659-849D-4D1F-A9C1-C102C2BC3792}" name="CP_ges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1112-513D-4B4C-985C-708BA2DA9DB4}">
  <sheetPr>
    <pageSetUpPr fitToPage="1"/>
  </sheetPr>
  <dimension ref="B3:J22"/>
  <sheetViews>
    <sheetView tabSelected="1" workbookViewId="0">
      <selection activeCell="C8" sqref="C8:I8"/>
    </sheetView>
  </sheetViews>
  <sheetFormatPr baseColWidth="10" defaultColWidth="11.44140625" defaultRowHeight="14.4" x14ac:dyDescent="0.3"/>
  <cols>
    <col min="1" max="1" width="11.44140625" style="29"/>
    <col min="2" max="2" width="5.44140625" style="29" customWidth="1"/>
    <col min="3" max="3" width="4.6640625" style="29" customWidth="1"/>
    <col min="4" max="4" width="11.44140625" style="29"/>
    <col min="5" max="8" width="19.109375" style="29" customWidth="1"/>
    <col min="9" max="9" width="19.109375" style="116" customWidth="1"/>
    <col min="10" max="10" width="5.44140625" style="29" customWidth="1"/>
    <col min="11" max="16384" width="11.44140625" style="29"/>
  </cols>
  <sheetData>
    <row r="3" spans="2:10" ht="33" customHeight="1" x14ac:dyDescent="0.3"/>
    <row r="5" spans="2:10" ht="65.25" customHeight="1" x14ac:dyDescent="0.3">
      <c r="B5" s="353" t="s">
        <v>763</v>
      </c>
      <c r="C5" s="354"/>
      <c r="D5" s="354"/>
      <c r="E5" s="354"/>
      <c r="F5" s="354"/>
      <c r="G5" s="354"/>
      <c r="H5" s="354"/>
      <c r="I5" s="354"/>
      <c r="J5" s="355"/>
    </row>
    <row r="6" spans="2:10" ht="11.25" customHeight="1" x14ac:dyDescent="0.3">
      <c r="B6" s="190"/>
      <c r="C6" s="191"/>
      <c r="D6" s="191"/>
      <c r="E6" s="191"/>
      <c r="F6" s="191"/>
      <c r="G6" s="191"/>
      <c r="H6" s="191"/>
      <c r="I6" s="191"/>
      <c r="J6" s="192" t="s">
        <v>822</v>
      </c>
    </row>
    <row r="7" spans="2:10" s="116" customFormat="1" x14ac:dyDescent="0.3">
      <c r="J7" s="189"/>
    </row>
    <row r="8" spans="2:10" s="116" customFormat="1" x14ac:dyDescent="0.3">
      <c r="C8" s="356" t="s">
        <v>741</v>
      </c>
      <c r="D8" s="357"/>
      <c r="E8" s="357"/>
      <c r="F8" s="357"/>
      <c r="G8" s="357"/>
      <c r="H8" s="357"/>
      <c r="I8" s="358"/>
    </row>
    <row r="9" spans="2:10" s="116" customFormat="1" x14ac:dyDescent="0.3"/>
    <row r="10" spans="2:10" s="116" customFormat="1" x14ac:dyDescent="0.3">
      <c r="C10" s="116" t="s">
        <v>568</v>
      </c>
      <c r="D10" s="116" t="s">
        <v>572</v>
      </c>
      <c r="I10" s="127" t="s">
        <v>573</v>
      </c>
    </row>
    <row r="11" spans="2:10" s="116" customFormat="1" x14ac:dyDescent="0.3"/>
    <row r="12" spans="2:10" s="116" customFormat="1" x14ac:dyDescent="0.3">
      <c r="C12" s="116" t="s">
        <v>569</v>
      </c>
      <c r="D12" s="116" t="s">
        <v>740</v>
      </c>
      <c r="I12" s="128" t="s">
        <v>574</v>
      </c>
    </row>
    <row r="13" spans="2:10" s="116" customFormat="1" x14ac:dyDescent="0.3"/>
    <row r="14" spans="2:10" s="116" customFormat="1" x14ac:dyDescent="0.3">
      <c r="C14" s="116" t="s">
        <v>570</v>
      </c>
      <c r="D14" s="116" t="s">
        <v>742</v>
      </c>
      <c r="I14" s="128" t="s">
        <v>574</v>
      </c>
    </row>
    <row r="15" spans="2:10" s="116" customFormat="1" x14ac:dyDescent="0.3"/>
    <row r="16" spans="2:10" s="116" customFormat="1" x14ac:dyDescent="0.3">
      <c r="C16" s="116" t="s">
        <v>769</v>
      </c>
      <c r="D16" s="116" t="s">
        <v>767</v>
      </c>
    </row>
    <row r="17" spans="3:8" s="116" customFormat="1" x14ac:dyDescent="0.3"/>
    <row r="18" spans="3:8" x14ac:dyDescent="0.3">
      <c r="C18" s="29" t="s">
        <v>571</v>
      </c>
      <c r="D18" s="116" t="s">
        <v>768</v>
      </c>
      <c r="E18" s="116"/>
      <c r="F18" s="116"/>
      <c r="G18" s="116"/>
      <c r="H18" s="116"/>
    </row>
    <row r="19" spans="3:8" x14ac:dyDescent="0.3">
      <c r="D19" s="116"/>
      <c r="E19" s="116"/>
      <c r="F19" s="116"/>
      <c r="G19" s="116"/>
      <c r="H19" s="116"/>
    </row>
    <row r="20" spans="3:8" ht="29.25" customHeight="1" x14ac:dyDescent="0.3">
      <c r="D20" s="359" t="s">
        <v>770</v>
      </c>
      <c r="E20" s="359"/>
      <c r="F20" s="359"/>
      <c r="G20" s="359"/>
      <c r="H20" s="359"/>
    </row>
    <row r="21" spans="3:8" x14ac:dyDescent="0.3">
      <c r="D21" s="359" t="s">
        <v>771</v>
      </c>
      <c r="E21" s="359"/>
      <c r="F21" s="359"/>
      <c r="G21" s="359"/>
      <c r="H21" s="359"/>
    </row>
    <row r="22" spans="3:8" ht="28.5" customHeight="1" x14ac:dyDescent="0.3">
      <c r="C22" s="183" t="s">
        <v>750</v>
      </c>
      <c r="D22" s="359"/>
      <c r="E22" s="359"/>
      <c r="F22" s="359"/>
      <c r="G22" s="359"/>
      <c r="H22" s="359"/>
    </row>
  </sheetData>
  <sheetProtection algorithmName="SHA-512" hashValue="TFPsShT9NU2Ea4pR/u7yzQJ3EPW+yiRg3qYV2Ikeu6zS90X3v/rBwYzIKwKvEW0sPreo3ZALlHO2QoYUPzRgIw==" saltValue="lbGnakSxFNxxdg5a7QZPVg==" spinCount="100000" sheet="1" objects="1" scenarios="1"/>
  <mergeCells count="4">
    <mergeCell ref="B5:J5"/>
    <mergeCell ref="C8:I8"/>
    <mergeCell ref="D20:H20"/>
    <mergeCell ref="D21:H22"/>
  </mergeCells>
  <hyperlinks>
    <hyperlink ref="I10" location="Dateneingabe!C2" display="--&gt; Dateneingabe" xr:uid="{209B4FF3-8DFC-43A6-BDE3-0D477E0FC261}"/>
    <hyperlink ref="I12" location="'Ausdruck 1'!L35" display="--&gt; Ausdruck 1" xr:uid="{7A2D824B-BD50-4065-97D9-AABCA3310B11}"/>
    <hyperlink ref="I14" location="'Ausdruck 1'!L35" display="--&gt; Ausdruck 1" xr:uid="{038CAB5A-F4A8-43A7-A9B1-2E0EB888CE98}"/>
  </hyperlinks>
  <pageMargins left="0.70866141732283472" right="0.70866141732283472" top="0.78740157480314965" bottom="0.51181102362204722" header="0.31496062992125984" footer="0.31496062992125984"/>
  <pageSetup paperSize="9" scale="91" orientation="landscape" r:id="rId1"/>
  <headerFooter>
    <oddFooter>&amp;L&amp;"Calibri,Standard"&amp;8Ben_InRe2a-KA131_Call2021-_v2022-08-01_frei&amp;R&amp;"Calibri,Standard"&amp;8gedruckt am: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5A35-92BC-44D3-87D2-9A902EF8A8BE}">
  <sheetPr>
    <pageSetUpPr fitToPage="1"/>
  </sheetPr>
  <dimension ref="B1:AB86"/>
  <sheetViews>
    <sheetView workbookViewId="0">
      <selection activeCell="C2" sqref="C2:E2"/>
    </sheetView>
  </sheetViews>
  <sheetFormatPr baseColWidth="10" defaultColWidth="11.44140625" defaultRowHeight="13.8" x14ac:dyDescent="0.3"/>
  <cols>
    <col min="1" max="1" width="2" style="29" customWidth="1"/>
    <col min="2" max="2" width="1.44140625" style="29" customWidth="1"/>
    <col min="3" max="3" width="27" style="29" customWidth="1"/>
    <col min="4" max="4" width="11.33203125" style="29" customWidth="1"/>
    <col min="5" max="5" width="8.5546875" style="47" customWidth="1"/>
    <col min="6" max="6" width="12.88671875" style="29" bestFit="1" customWidth="1"/>
    <col min="7" max="7" width="12" style="29" bestFit="1" customWidth="1"/>
    <col min="8" max="8" width="13" style="29" customWidth="1"/>
    <col min="9" max="9" width="13.6640625" style="29" customWidth="1"/>
    <col min="10" max="10" width="5.109375" style="29" hidden="1" customWidth="1"/>
    <col min="11" max="11" width="8.88671875" style="29" hidden="1" customWidth="1"/>
    <col min="12" max="12" width="14.44140625" style="29" hidden="1" customWidth="1"/>
    <col min="13" max="13" width="7.109375" style="29" hidden="1" customWidth="1"/>
    <col min="14" max="14" width="8.33203125" style="29" hidden="1" customWidth="1"/>
    <col min="15" max="15" width="7" style="29" hidden="1" customWidth="1"/>
    <col min="16" max="16" width="8.109375" style="29" hidden="1" customWidth="1"/>
    <col min="17" max="17" width="6.88671875" style="29" hidden="1" customWidth="1"/>
    <col min="18" max="18" width="8" style="29" hidden="1" customWidth="1"/>
    <col min="19" max="19" width="6.6640625" style="29" hidden="1" customWidth="1"/>
    <col min="20" max="20" width="7.88671875" style="29" hidden="1" customWidth="1"/>
    <col min="21" max="21" width="6.109375" style="29" hidden="1" customWidth="1"/>
    <col min="22" max="22" width="9.5546875" style="29" hidden="1" customWidth="1"/>
    <col min="23" max="23" width="6.33203125" style="29" hidden="1" customWidth="1"/>
    <col min="24" max="24" width="12.6640625" style="29" hidden="1" customWidth="1"/>
    <col min="25" max="25" width="10.5546875" style="29" hidden="1" customWidth="1"/>
    <col min="26" max="26" width="10.33203125" style="29" hidden="1" customWidth="1"/>
    <col min="27" max="27" width="10.88671875" style="29" hidden="1" customWidth="1"/>
    <col min="28" max="28" width="1.44140625" style="29" hidden="1" customWidth="1"/>
    <col min="29" max="29" width="0" style="29" hidden="1" customWidth="1"/>
    <col min="30" max="16384" width="11.44140625" style="29"/>
  </cols>
  <sheetData>
    <row r="1" spans="2:28" ht="15.75" customHeight="1" x14ac:dyDescent="0.3">
      <c r="C1" s="115" t="s">
        <v>5</v>
      </c>
      <c r="D1" s="115"/>
      <c r="E1" s="61"/>
      <c r="F1" s="181"/>
      <c r="G1" s="180"/>
      <c r="H1" s="180"/>
      <c r="I1" s="180"/>
      <c r="J1" s="61"/>
      <c r="K1" s="61"/>
      <c r="L1" s="61"/>
    </row>
    <row r="2" spans="2:28" ht="16.5" customHeight="1" x14ac:dyDescent="0.3">
      <c r="C2" s="360" t="s">
        <v>575</v>
      </c>
      <c r="D2" s="360"/>
      <c r="E2" s="360"/>
    </row>
    <row r="3" spans="2:28" s="38" customFormat="1" ht="55.8" thickBot="1" x14ac:dyDescent="0.35">
      <c r="F3" s="150" t="s">
        <v>555</v>
      </c>
      <c r="G3" s="150" t="s">
        <v>542</v>
      </c>
      <c r="H3" s="150" t="s">
        <v>516</v>
      </c>
      <c r="I3" s="150" t="s">
        <v>749</v>
      </c>
      <c r="L3" s="151"/>
      <c r="M3" s="364" t="s">
        <v>549</v>
      </c>
      <c r="N3" s="364"/>
      <c r="O3" s="364"/>
      <c r="P3" s="364"/>
      <c r="Q3" s="364"/>
      <c r="R3" s="364"/>
      <c r="S3" s="364"/>
      <c r="T3" s="364"/>
      <c r="U3" s="364"/>
      <c r="V3" s="364"/>
      <c r="W3" s="365"/>
      <c r="X3" s="150" t="s">
        <v>535</v>
      </c>
      <c r="Y3" s="152" t="s">
        <v>534</v>
      </c>
      <c r="Z3" s="150" t="s">
        <v>552</v>
      </c>
      <c r="AA3" s="150" t="s">
        <v>567</v>
      </c>
    </row>
    <row r="4" spans="2:28" s="38" customFormat="1" ht="7.5" customHeight="1" thickTop="1" thickBot="1" x14ac:dyDescent="0.35">
      <c r="B4" s="68"/>
      <c r="C4" s="153"/>
      <c r="D4" s="153"/>
      <c r="E4" s="154"/>
      <c r="F4" s="155"/>
      <c r="G4" s="155"/>
      <c r="H4" s="155"/>
      <c r="I4" s="155"/>
      <c r="J4" s="153"/>
      <c r="K4" s="153"/>
      <c r="L4" s="153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3"/>
      <c r="Y4" s="153"/>
      <c r="Z4" s="153"/>
      <c r="AA4" s="153"/>
      <c r="AB4" s="69"/>
    </row>
    <row r="5" spans="2:28" x14ac:dyDescent="0.3">
      <c r="B5" s="70"/>
      <c r="C5" s="373" t="s">
        <v>507</v>
      </c>
      <c r="D5" s="50"/>
      <c r="E5" s="52" t="s">
        <v>508</v>
      </c>
      <c r="F5" s="51">
        <f>VLOOKUP($C$2,'Daten 2021'!$A$2:$BZ$78,10,0)</f>
        <v>0</v>
      </c>
      <c r="G5" s="129">
        <v>0</v>
      </c>
      <c r="H5" s="129">
        <v>0</v>
      </c>
      <c r="I5" s="276">
        <f>G5+H5</f>
        <v>0</v>
      </c>
      <c r="J5" s="50"/>
      <c r="K5" s="50"/>
      <c r="L5" s="50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102">
        <f>I5-F5</f>
        <v>0</v>
      </c>
      <c r="Z5" s="361" t="str">
        <f>IF(Y8&lt;0,Y8*-1,"")</f>
        <v/>
      </c>
      <c r="AA5" s="368" t="str">
        <f>IF(Y8&gt;0,Y8,"")</f>
        <v/>
      </c>
      <c r="AB5" s="71"/>
    </row>
    <row r="6" spans="2:28" x14ac:dyDescent="0.3">
      <c r="B6" s="70"/>
      <c r="C6" s="374"/>
      <c r="D6" s="62"/>
      <c r="E6" s="63" t="s">
        <v>540</v>
      </c>
      <c r="F6" s="48"/>
      <c r="G6" s="130">
        <v>0</v>
      </c>
      <c r="H6" s="130">
        <v>0</v>
      </c>
      <c r="I6" s="277">
        <f t="shared" ref="I6:I8" si="0">G6+H6</f>
        <v>0</v>
      </c>
      <c r="J6" s="62"/>
      <c r="K6" s="62"/>
      <c r="L6" s="104" t="s">
        <v>746</v>
      </c>
      <c r="M6" s="104" t="s">
        <v>506</v>
      </c>
      <c r="N6" s="104" t="s">
        <v>505</v>
      </c>
      <c r="O6" s="104" t="s">
        <v>531</v>
      </c>
      <c r="P6" s="104" t="s">
        <v>532</v>
      </c>
      <c r="Q6" s="104" t="s">
        <v>501</v>
      </c>
      <c r="R6" s="104" t="s">
        <v>503</v>
      </c>
      <c r="S6" s="104" t="s">
        <v>502</v>
      </c>
      <c r="T6" s="104" t="s">
        <v>504</v>
      </c>
      <c r="U6" s="104" t="s">
        <v>533</v>
      </c>
      <c r="V6" s="104" t="s">
        <v>553</v>
      </c>
      <c r="W6" s="104" t="s">
        <v>548</v>
      </c>
      <c r="X6" s="62"/>
      <c r="Y6" s="62"/>
      <c r="Z6" s="362"/>
      <c r="AA6" s="369"/>
      <c r="AB6" s="71"/>
    </row>
    <row r="7" spans="2:28" x14ac:dyDescent="0.3">
      <c r="B7" s="70"/>
      <c r="C7" s="374"/>
      <c r="D7" s="62"/>
      <c r="E7" s="63" t="s">
        <v>541</v>
      </c>
      <c r="F7" s="48"/>
      <c r="G7" s="130">
        <v>0</v>
      </c>
      <c r="H7" s="130">
        <v>0</v>
      </c>
      <c r="I7" s="277">
        <f t="shared" si="0"/>
        <v>0</v>
      </c>
      <c r="J7" s="62"/>
      <c r="K7" s="63" t="s">
        <v>745</v>
      </c>
      <c r="L7" s="145">
        <f>MAX(0,K8)</f>
        <v>0</v>
      </c>
      <c r="M7" s="48"/>
      <c r="N7" s="48"/>
      <c r="O7" s="48"/>
      <c r="P7" s="138">
        <v>0</v>
      </c>
      <c r="Q7" s="48"/>
      <c r="R7" s="138">
        <v>0</v>
      </c>
      <c r="S7" s="48"/>
      <c r="T7" s="138">
        <v>0</v>
      </c>
      <c r="U7" s="48"/>
      <c r="V7" s="48"/>
      <c r="W7" s="48"/>
      <c r="X7" s="48"/>
      <c r="Y7" s="48"/>
      <c r="Z7" s="362"/>
      <c r="AA7" s="369"/>
      <c r="AB7" s="71"/>
    </row>
    <row r="8" spans="2:28" ht="14.4" thickBot="1" x14ac:dyDescent="0.35">
      <c r="B8" s="70"/>
      <c r="C8" s="375"/>
      <c r="D8" s="53"/>
      <c r="E8" s="56" t="s">
        <v>110</v>
      </c>
      <c r="F8" s="54">
        <f>VLOOKUP($C$2,'Daten 2021'!$A$2:$BZ$78,12,0)</f>
        <v>0</v>
      </c>
      <c r="G8" s="131">
        <v>0</v>
      </c>
      <c r="H8" s="131">
        <v>0</v>
      </c>
      <c r="I8" s="278">
        <f t="shared" si="0"/>
        <v>0</v>
      </c>
      <c r="J8" s="143"/>
      <c r="K8" s="144">
        <f>F8-I8</f>
        <v>0</v>
      </c>
      <c r="L8" s="53"/>
      <c r="M8" s="55"/>
      <c r="N8" s="55"/>
      <c r="O8" s="54">
        <f>N12</f>
        <v>0</v>
      </c>
      <c r="P8" s="54">
        <f>P7*-1</f>
        <v>0</v>
      </c>
      <c r="Q8" s="54">
        <f>N22</f>
        <v>0</v>
      </c>
      <c r="R8" s="54">
        <f>R7*-1</f>
        <v>0</v>
      </c>
      <c r="S8" s="54">
        <f>N27</f>
        <v>0</v>
      </c>
      <c r="T8" s="54">
        <f>T7*-1</f>
        <v>0</v>
      </c>
      <c r="U8" s="54">
        <f>N42</f>
        <v>0</v>
      </c>
      <c r="V8" s="54">
        <f>N47</f>
        <v>0</v>
      </c>
      <c r="W8" s="54">
        <f>N54+N58+N62+N66+N70</f>
        <v>0</v>
      </c>
      <c r="X8" s="146">
        <f>F8+M8+N8+O8+P8+Q8+R8+S8+T8+U8+V8+W8</f>
        <v>0</v>
      </c>
      <c r="Y8" s="147">
        <f>X8-I8</f>
        <v>0</v>
      </c>
      <c r="Z8" s="363"/>
      <c r="AA8" s="370"/>
      <c r="AB8" s="71"/>
    </row>
    <row r="9" spans="2:28" ht="14.4" thickBot="1" x14ac:dyDescent="0.35">
      <c r="B9" s="70"/>
      <c r="C9" s="62"/>
      <c r="D9" s="62"/>
      <c r="E9" s="63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71"/>
    </row>
    <row r="10" spans="2:28" x14ac:dyDescent="0.3">
      <c r="B10" s="70"/>
      <c r="C10" s="373" t="s">
        <v>509</v>
      </c>
      <c r="D10" s="50"/>
      <c r="E10" s="52" t="s">
        <v>508</v>
      </c>
      <c r="F10" s="51">
        <f>VLOOKUP($C$2,'Daten 2021'!$A$2:$BZ$78,13,0)</f>
        <v>0</v>
      </c>
      <c r="G10" s="129">
        <v>0</v>
      </c>
      <c r="H10" s="129">
        <v>0</v>
      </c>
      <c r="I10" s="276">
        <f>G10+H10</f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02">
        <f>I10-F10</f>
        <v>0</v>
      </c>
      <c r="Z10" s="361" t="str">
        <f>IF(Y13&lt;0,Y13*-1,"")</f>
        <v/>
      </c>
      <c r="AA10" s="368" t="str">
        <f>IF(Y13&gt;0,Y13,"")</f>
        <v/>
      </c>
      <c r="AB10" s="71"/>
    </row>
    <row r="11" spans="2:28" x14ac:dyDescent="0.3">
      <c r="B11" s="70"/>
      <c r="C11" s="374"/>
      <c r="D11" s="62"/>
      <c r="E11" s="63" t="s">
        <v>540</v>
      </c>
      <c r="F11" s="48"/>
      <c r="G11" s="130">
        <v>0</v>
      </c>
      <c r="H11" s="130">
        <v>0</v>
      </c>
      <c r="I11" s="277">
        <f t="shared" ref="I11" si="1">G11+H11</f>
        <v>0</v>
      </c>
      <c r="J11" s="62"/>
      <c r="K11" s="62"/>
      <c r="L11" s="104" t="s">
        <v>746</v>
      </c>
      <c r="M11" s="104" t="s">
        <v>506</v>
      </c>
      <c r="N11" s="104" t="s">
        <v>505</v>
      </c>
      <c r="O11" s="104" t="s">
        <v>531</v>
      </c>
      <c r="P11" s="104" t="s">
        <v>532</v>
      </c>
      <c r="Q11" s="104" t="s">
        <v>501</v>
      </c>
      <c r="R11" s="104" t="s">
        <v>503</v>
      </c>
      <c r="S11" s="104" t="s">
        <v>502</v>
      </c>
      <c r="T11" s="104" t="s">
        <v>504</v>
      </c>
      <c r="U11" s="104" t="s">
        <v>533</v>
      </c>
      <c r="V11" s="104" t="s">
        <v>553</v>
      </c>
      <c r="W11" s="104" t="s">
        <v>548</v>
      </c>
      <c r="X11" s="62"/>
      <c r="Y11" s="62"/>
      <c r="Z11" s="362"/>
      <c r="AA11" s="369"/>
      <c r="AB11" s="71"/>
    </row>
    <row r="12" spans="2:28" x14ac:dyDescent="0.3">
      <c r="B12" s="70"/>
      <c r="C12" s="374"/>
      <c r="D12" s="62"/>
      <c r="E12" s="63" t="s">
        <v>541</v>
      </c>
      <c r="F12" s="48"/>
      <c r="G12" s="130">
        <v>0</v>
      </c>
      <c r="H12" s="130">
        <v>0</v>
      </c>
      <c r="I12" s="277">
        <f t="shared" ref="I12:I13" si="2">G12+H12</f>
        <v>0</v>
      </c>
      <c r="J12" s="62"/>
      <c r="K12" s="63" t="s">
        <v>745</v>
      </c>
      <c r="L12" s="145">
        <f>MAX(0,K13)</f>
        <v>0</v>
      </c>
      <c r="M12" s="48"/>
      <c r="N12" s="138">
        <v>0</v>
      </c>
      <c r="O12" s="48"/>
      <c r="P12" s="48"/>
      <c r="Q12" s="48"/>
      <c r="R12" s="138">
        <v>0</v>
      </c>
      <c r="S12" s="48"/>
      <c r="T12" s="138">
        <v>0</v>
      </c>
      <c r="U12" s="48"/>
      <c r="V12" s="48"/>
      <c r="W12" s="48"/>
      <c r="X12" s="48"/>
      <c r="Y12" s="48"/>
      <c r="Z12" s="362"/>
      <c r="AA12" s="369"/>
      <c r="AB12" s="71"/>
    </row>
    <row r="13" spans="2:28" ht="14.4" thickBot="1" x14ac:dyDescent="0.35">
      <c r="B13" s="70"/>
      <c r="C13" s="375"/>
      <c r="D13" s="53"/>
      <c r="E13" s="56" t="s">
        <v>110</v>
      </c>
      <c r="F13" s="54">
        <f>VLOOKUP($C$2,'Daten 2021'!$A$2:$BZ$78,15,0)</f>
        <v>0</v>
      </c>
      <c r="G13" s="131">
        <v>0</v>
      </c>
      <c r="H13" s="131">
        <v>0</v>
      </c>
      <c r="I13" s="278">
        <f t="shared" si="2"/>
        <v>0</v>
      </c>
      <c r="J13" s="143"/>
      <c r="K13" s="144">
        <f>F13-I13</f>
        <v>0</v>
      </c>
      <c r="L13" s="53"/>
      <c r="M13" s="54">
        <f>P7</f>
        <v>0</v>
      </c>
      <c r="N13" s="54">
        <f>N12*-1</f>
        <v>0</v>
      </c>
      <c r="O13" s="55"/>
      <c r="P13" s="55"/>
      <c r="Q13" s="54">
        <f>P22</f>
        <v>0</v>
      </c>
      <c r="R13" s="54">
        <f>R12*-1</f>
        <v>0</v>
      </c>
      <c r="S13" s="54">
        <f>P27</f>
        <v>0</v>
      </c>
      <c r="T13" s="54">
        <f>T12*-1</f>
        <v>0</v>
      </c>
      <c r="U13" s="54">
        <f>P42</f>
        <v>0</v>
      </c>
      <c r="V13" s="54">
        <f>P47</f>
        <v>0</v>
      </c>
      <c r="W13" s="54">
        <f>P54+P58+P62+P66+P70</f>
        <v>0</v>
      </c>
      <c r="X13" s="146">
        <f>F13+M13+N13+O13+P13+Q13+R13+S13+T13+U13+V13+W13</f>
        <v>0</v>
      </c>
      <c r="Y13" s="147">
        <f>X13-I13</f>
        <v>0</v>
      </c>
      <c r="Z13" s="363"/>
      <c r="AA13" s="370"/>
      <c r="AB13" s="71"/>
    </row>
    <row r="14" spans="2:28" ht="14.4" thickBot="1" x14ac:dyDescent="0.35">
      <c r="B14" s="70"/>
      <c r="C14" s="62"/>
      <c r="D14" s="62"/>
      <c r="E14" s="63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72"/>
      <c r="Z14" s="62"/>
      <c r="AA14" s="62"/>
      <c r="AB14" s="73"/>
    </row>
    <row r="15" spans="2:28" x14ac:dyDescent="0.3">
      <c r="B15" s="70"/>
      <c r="C15" s="376" t="s">
        <v>536</v>
      </c>
      <c r="D15" s="160"/>
      <c r="E15" s="161" t="s">
        <v>508</v>
      </c>
      <c r="F15" s="162">
        <f>F5+F10</f>
        <v>0</v>
      </c>
      <c r="G15" s="162">
        <f>G5+G10</f>
        <v>0</v>
      </c>
      <c r="H15" s="162">
        <f>H5+H10</f>
        <v>0</v>
      </c>
      <c r="I15" s="279">
        <f>I5+I10</f>
        <v>0</v>
      </c>
      <c r="J15" s="160"/>
      <c r="K15" s="160"/>
      <c r="L15" s="160"/>
      <c r="M15" s="163"/>
      <c r="N15" s="163"/>
      <c r="O15" s="163"/>
      <c r="P15" s="164" t="s">
        <v>537</v>
      </c>
      <c r="Q15" s="165"/>
      <c r="R15" s="165"/>
      <c r="S15" s="165"/>
      <c r="T15" s="164" t="s">
        <v>538</v>
      </c>
      <c r="U15" s="165"/>
      <c r="V15" s="166"/>
      <c r="W15" s="166"/>
      <c r="X15" s="163"/>
      <c r="Y15" s="167">
        <f>I15-F15</f>
        <v>0</v>
      </c>
      <c r="Z15" s="366" t="str">
        <f>IF(Y16&lt;0,Y16*-1,"")</f>
        <v/>
      </c>
      <c r="AA15" s="371" t="str">
        <f>IF(Y16&gt;0,Y16,"")</f>
        <v/>
      </c>
      <c r="AB15" s="71"/>
    </row>
    <row r="16" spans="2:28" ht="14.4" thickBot="1" x14ac:dyDescent="0.35">
      <c r="B16" s="70"/>
      <c r="C16" s="377"/>
      <c r="D16" s="168"/>
      <c r="E16" s="169" t="s">
        <v>110</v>
      </c>
      <c r="F16" s="170">
        <f>F8+F13</f>
        <v>0</v>
      </c>
      <c r="G16" s="170">
        <f t="shared" ref="G16:I16" si="3">G8+G13</f>
        <v>0</v>
      </c>
      <c r="H16" s="170">
        <f t="shared" si="3"/>
        <v>0</v>
      </c>
      <c r="I16" s="280">
        <f t="shared" si="3"/>
        <v>0</v>
      </c>
      <c r="J16" s="168"/>
      <c r="K16" s="168"/>
      <c r="L16" s="168"/>
      <c r="M16" s="171"/>
      <c r="N16" s="172"/>
      <c r="O16" s="172"/>
      <c r="P16" s="170">
        <f>N22+P22+N27+P27+N42+P42+N47+P47+N54+P54+N58+P58+N62+P62+N66+P66+N70+P70</f>
        <v>0</v>
      </c>
      <c r="Q16" s="171"/>
      <c r="R16" s="172"/>
      <c r="S16" s="173" t="str">
        <f>IF((T16*-1)&gt;(F16*0.1),"Umschichtung maximal 10% ("&amp;TEXT(F16*0.1,"#.##0,00")&amp;")","")</f>
        <v/>
      </c>
      <c r="T16" s="170">
        <f>R8+T8+R13+T13</f>
        <v>0</v>
      </c>
      <c r="U16" s="171"/>
      <c r="V16" s="171"/>
      <c r="W16" s="171"/>
      <c r="X16" s="170">
        <f>F16+P16+T16</f>
        <v>0</v>
      </c>
      <c r="Y16" s="170">
        <f>X16-I16</f>
        <v>0</v>
      </c>
      <c r="Z16" s="367"/>
      <c r="AA16" s="372"/>
      <c r="AB16" s="71"/>
    </row>
    <row r="17" spans="2:28" ht="7.5" customHeight="1" thickBot="1" x14ac:dyDescent="0.35">
      <c r="B17" s="74"/>
      <c r="C17" s="75"/>
      <c r="D17" s="75"/>
      <c r="E17" s="76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7"/>
      <c r="Z17" s="75"/>
      <c r="AA17" s="75"/>
      <c r="AB17" s="78"/>
    </row>
    <row r="18" spans="2:28" ht="15" thickTop="1" thickBot="1" x14ac:dyDescent="0.35">
      <c r="B18" s="62"/>
      <c r="C18" s="62"/>
      <c r="D18" s="62"/>
      <c r="E18" s="63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72"/>
      <c r="Z18" s="62"/>
      <c r="AA18" s="62"/>
      <c r="AB18" s="62"/>
    </row>
    <row r="19" spans="2:28" ht="7.5" customHeight="1" thickTop="1" thickBot="1" x14ac:dyDescent="0.35">
      <c r="B19" s="79"/>
      <c r="C19" s="80"/>
      <c r="D19" s="80"/>
      <c r="E19" s="81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2"/>
    </row>
    <row r="20" spans="2:28" x14ac:dyDescent="0.3">
      <c r="B20" s="70"/>
      <c r="C20" s="373" t="s">
        <v>2</v>
      </c>
      <c r="D20" s="50"/>
      <c r="E20" s="52" t="s">
        <v>508</v>
      </c>
      <c r="F20" s="51">
        <f>VLOOKUP($C$2,'Daten 2021'!$A$2:$BZ$78,16,0)</f>
        <v>0</v>
      </c>
      <c r="G20" s="129">
        <v>0</v>
      </c>
      <c r="H20" s="129">
        <v>0</v>
      </c>
      <c r="I20" s="276">
        <f>G20+H20</f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102">
        <f>I20-F20</f>
        <v>0</v>
      </c>
      <c r="Z20" s="361" t="str">
        <f>IF(Y23&lt;0,Y23*-1,"")</f>
        <v/>
      </c>
      <c r="AA20" s="368" t="str">
        <f>IF(Y23&gt;0,Y23,"")</f>
        <v/>
      </c>
      <c r="AB20" s="71"/>
    </row>
    <row r="21" spans="2:28" x14ac:dyDescent="0.3">
      <c r="B21" s="70"/>
      <c r="C21" s="374"/>
      <c r="D21" s="62"/>
      <c r="E21" s="63" t="s">
        <v>540</v>
      </c>
      <c r="F21" s="48"/>
      <c r="G21" s="130">
        <v>0</v>
      </c>
      <c r="H21" s="130">
        <v>0</v>
      </c>
      <c r="I21" s="277">
        <f t="shared" ref="I21" si="4">G21+H21</f>
        <v>0</v>
      </c>
      <c r="J21" s="62"/>
      <c r="K21" s="62"/>
      <c r="L21" s="104" t="s">
        <v>746</v>
      </c>
      <c r="M21" s="104" t="s">
        <v>506</v>
      </c>
      <c r="N21" s="104" t="s">
        <v>505</v>
      </c>
      <c r="O21" s="104" t="s">
        <v>531</v>
      </c>
      <c r="P21" s="104" t="s">
        <v>532</v>
      </c>
      <c r="Q21" s="104" t="s">
        <v>501</v>
      </c>
      <c r="R21" s="104" t="s">
        <v>503</v>
      </c>
      <c r="S21" s="104" t="s">
        <v>502</v>
      </c>
      <c r="T21" s="104" t="s">
        <v>504</v>
      </c>
      <c r="U21" s="104" t="s">
        <v>533</v>
      </c>
      <c r="V21" s="104" t="s">
        <v>553</v>
      </c>
      <c r="W21" s="104" t="s">
        <v>548</v>
      </c>
      <c r="X21" s="62"/>
      <c r="Y21" s="62"/>
      <c r="Z21" s="362"/>
      <c r="AA21" s="369"/>
      <c r="AB21" s="71"/>
    </row>
    <row r="22" spans="2:28" x14ac:dyDescent="0.3">
      <c r="B22" s="70"/>
      <c r="C22" s="374"/>
      <c r="D22" s="62"/>
      <c r="E22" s="63" t="s">
        <v>541</v>
      </c>
      <c r="F22" s="48"/>
      <c r="G22" s="130">
        <v>0</v>
      </c>
      <c r="H22" s="130">
        <v>0</v>
      </c>
      <c r="I22" s="277">
        <f t="shared" ref="I22:I23" si="5">G22+H22</f>
        <v>0</v>
      </c>
      <c r="J22" s="62"/>
      <c r="K22" s="63" t="s">
        <v>745</v>
      </c>
      <c r="L22" s="145">
        <f>MAX(0,K23)</f>
        <v>0</v>
      </c>
      <c r="M22" s="48"/>
      <c r="N22" s="138">
        <v>0</v>
      </c>
      <c r="O22" s="48"/>
      <c r="P22" s="138">
        <v>0</v>
      </c>
      <c r="Q22" s="48"/>
      <c r="R22" s="48"/>
      <c r="S22" s="48"/>
      <c r="T22" s="138">
        <v>0</v>
      </c>
      <c r="U22" s="48"/>
      <c r="V22" s="48"/>
      <c r="W22" s="48"/>
      <c r="X22" s="48"/>
      <c r="Y22" s="48"/>
      <c r="Z22" s="362"/>
      <c r="AA22" s="369"/>
      <c r="AB22" s="71"/>
    </row>
    <row r="23" spans="2:28" ht="14.4" thickBot="1" x14ac:dyDescent="0.35">
      <c r="B23" s="70"/>
      <c r="C23" s="375"/>
      <c r="D23" s="53"/>
      <c r="E23" s="56" t="s">
        <v>110</v>
      </c>
      <c r="F23" s="54">
        <f>VLOOKUP($C$2,'Daten 2021'!$A$2:$BZ$78,18,0)</f>
        <v>0</v>
      </c>
      <c r="G23" s="131">
        <v>0</v>
      </c>
      <c r="H23" s="131">
        <v>0</v>
      </c>
      <c r="I23" s="278">
        <f t="shared" si="5"/>
        <v>0</v>
      </c>
      <c r="J23" s="143"/>
      <c r="K23" s="144">
        <f>F23-I23</f>
        <v>0</v>
      </c>
      <c r="L23" s="53"/>
      <c r="M23" s="54">
        <f>R7</f>
        <v>0</v>
      </c>
      <c r="N23" s="54">
        <f>N22*-1</f>
        <v>0</v>
      </c>
      <c r="O23" s="54">
        <f>R12</f>
        <v>0</v>
      </c>
      <c r="P23" s="54">
        <f>P22*-1</f>
        <v>0</v>
      </c>
      <c r="Q23" s="55"/>
      <c r="R23" s="55"/>
      <c r="S23" s="54">
        <f>R27</f>
        <v>0</v>
      </c>
      <c r="T23" s="54">
        <f>T22*-1</f>
        <v>0</v>
      </c>
      <c r="U23" s="54">
        <f>R42</f>
        <v>0</v>
      </c>
      <c r="V23" s="54">
        <f>R47</f>
        <v>0</v>
      </c>
      <c r="W23" s="54">
        <f>R54+R58+R62+R66+R70</f>
        <v>0</v>
      </c>
      <c r="X23" s="146">
        <f>F23+M23+N23+O23+P23+Q23+R23+S23+T23+U23+V23+W23</f>
        <v>0</v>
      </c>
      <c r="Y23" s="147">
        <f>X23-I23</f>
        <v>0</v>
      </c>
      <c r="Z23" s="363"/>
      <c r="AA23" s="370"/>
      <c r="AB23" s="71"/>
    </row>
    <row r="24" spans="2:28" ht="14.4" thickBot="1" x14ac:dyDescent="0.35">
      <c r="B24" s="70"/>
      <c r="C24" s="62"/>
      <c r="D24" s="62"/>
      <c r="E24" s="6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71"/>
    </row>
    <row r="25" spans="2:28" x14ac:dyDescent="0.3">
      <c r="B25" s="70"/>
      <c r="C25" s="373" t="s">
        <v>3</v>
      </c>
      <c r="D25" s="50"/>
      <c r="E25" s="52" t="s">
        <v>508</v>
      </c>
      <c r="F25" s="51">
        <f>VLOOKUP($C$2,'Daten 2021'!$A$2:$BZ$78,19,0)</f>
        <v>0</v>
      </c>
      <c r="G25" s="129">
        <v>0</v>
      </c>
      <c r="H25" s="129">
        <v>0</v>
      </c>
      <c r="I25" s="276">
        <f>G25+H25</f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102">
        <f>I25-F25</f>
        <v>0</v>
      </c>
      <c r="Z25" s="361" t="str">
        <f>IF(Y28&lt;0,Y28*-1,"")</f>
        <v/>
      </c>
      <c r="AA25" s="368" t="str">
        <f>IF(Y28&gt;0,Y28,"")</f>
        <v/>
      </c>
      <c r="AB25" s="71"/>
    </row>
    <row r="26" spans="2:28" x14ac:dyDescent="0.3">
      <c r="B26" s="70"/>
      <c r="C26" s="374"/>
      <c r="D26" s="62"/>
      <c r="E26" s="63" t="s">
        <v>540</v>
      </c>
      <c r="F26" s="48"/>
      <c r="G26" s="130">
        <v>0</v>
      </c>
      <c r="H26" s="130">
        <v>0</v>
      </c>
      <c r="I26" s="277">
        <f t="shared" ref="I26" si="6">G26+H26</f>
        <v>0</v>
      </c>
      <c r="J26" s="62"/>
      <c r="K26" s="62"/>
      <c r="L26" s="104" t="s">
        <v>746</v>
      </c>
      <c r="M26" s="104" t="s">
        <v>506</v>
      </c>
      <c r="N26" s="104" t="s">
        <v>505</v>
      </c>
      <c r="O26" s="104" t="s">
        <v>531</v>
      </c>
      <c r="P26" s="104" t="s">
        <v>532</v>
      </c>
      <c r="Q26" s="104" t="s">
        <v>501</v>
      </c>
      <c r="R26" s="104" t="s">
        <v>503</v>
      </c>
      <c r="S26" s="104" t="s">
        <v>502</v>
      </c>
      <c r="T26" s="104" t="s">
        <v>504</v>
      </c>
      <c r="U26" s="104" t="s">
        <v>533</v>
      </c>
      <c r="V26" s="104" t="s">
        <v>553</v>
      </c>
      <c r="W26" s="104" t="s">
        <v>548</v>
      </c>
      <c r="X26" s="62"/>
      <c r="Y26" s="62"/>
      <c r="Z26" s="362"/>
      <c r="AA26" s="369"/>
      <c r="AB26" s="71"/>
    </row>
    <row r="27" spans="2:28" x14ac:dyDescent="0.3">
      <c r="B27" s="70"/>
      <c r="C27" s="374"/>
      <c r="D27" s="62"/>
      <c r="E27" s="63" t="s">
        <v>541</v>
      </c>
      <c r="F27" s="48"/>
      <c r="G27" s="130">
        <v>0</v>
      </c>
      <c r="H27" s="130">
        <v>0</v>
      </c>
      <c r="I27" s="277">
        <f t="shared" ref="I27:I28" si="7">G27+H27</f>
        <v>0</v>
      </c>
      <c r="J27" s="62"/>
      <c r="K27" s="63" t="s">
        <v>745</v>
      </c>
      <c r="L27" s="145">
        <f>MAX(0,K28)</f>
        <v>0</v>
      </c>
      <c r="M27" s="48"/>
      <c r="N27" s="138">
        <v>0</v>
      </c>
      <c r="O27" s="48"/>
      <c r="P27" s="138">
        <v>0</v>
      </c>
      <c r="Q27" s="48"/>
      <c r="R27" s="138">
        <v>0</v>
      </c>
      <c r="S27" s="48"/>
      <c r="T27" s="48"/>
      <c r="U27" s="48"/>
      <c r="V27" s="48"/>
      <c r="W27" s="48"/>
      <c r="X27" s="48"/>
      <c r="Y27" s="48"/>
      <c r="Z27" s="362"/>
      <c r="AA27" s="369"/>
      <c r="AB27" s="71"/>
    </row>
    <row r="28" spans="2:28" s="45" customFormat="1" ht="14.4" thickBot="1" x14ac:dyDescent="0.35">
      <c r="B28" s="83"/>
      <c r="C28" s="375"/>
      <c r="D28" s="53"/>
      <c r="E28" s="56" t="s">
        <v>110</v>
      </c>
      <c r="F28" s="54">
        <f>VLOOKUP($C$2,'Daten 2021'!$A$2:$BZ$78,21,0)</f>
        <v>0</v>
      </c>
      <c r="G28" s="131">
        <v>0</v>
      </c>
      <c r="H28" s="131">
        <v>0</v>
      </c>
      <c r="I28" s="278">
        <f t="shared" si="7"/>
        <v>0</v>
      </c>
      <c r="J28" s="143"/>
      <c r="K28" s="144">
        <f>F28-I28</f>
        <v>0</v>
      </c>
      <c r="L28" s="53"/>
      <c r="M28" s="54">
        <f>T7</f>
        <v>0</v>
      </c>
      <c r="N28" s="54">
        <f>N27*-1</f>
        <v>0</v>
      </c>
      <c r="O28" s="54">
        <f>T12</f>
        <v>0</v>
      </c>
      <c r="P28" s="54">
        <f>P27*-1</f>
        <v>0</v>
      </c>
      <c r="Q28" s="54">
        <f>T22</f>
        <v>0</v>
      </c>
      <c r="R28" s="54">
        <f>R27*-1</f>
        <v>0</v>
      </c>
      <c r="S28" s="55"/>
      <c r="T28" s="55"/>
      <c r="U28" s="54">
        <f>T42</f>
        <v>0</v>
      </c>
      <c r="V28" s="54">
        <f>T47</f>
        <v>0</v>
      </c>
      <c r="W28" s="54">
        <f>T54+T58+T62+T66+T70</f>
        <v>0</v>
      </c>
      <c r="X28" s="146">
        <f>F28+M28+N28+O28+P28+Q28+R28+S28+T28+U28+V28+W28</f>
        <v>0</v>
      </c>
      <c r="Y28" s="147">
        <f>X28-I28</f>
        <v>0</v>
      </c>
      <c r="Z28" s="363"/>
      <c r="AA28" s="370"/>
      <c r="AB28" s="84"/>
    </row>
    <row r="29" spans="2:28" ht="14.4" thickBot="1" x14ac:dyDescent="0.35">
      <c r="B29" s="70"/>
      <c r="C29" s="1"/>
      <c r="D29" s="1"/>
      <c r="E29" s="85"/>
      <c r="F29" s="17"/>
      <c r="G29" s="17"/>
      <c r="H29" s="17"/>
      <c r="I29" s="1"/>
      <c r="J29" s="1"/>
      <c r="K29" s="1"/>
      <c r="L29" s="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62"/>
      <c r="AA29" s="62"/>
      <c r="AB29" s="71"/>
    </row>
    <row r="30" spans="2:28" x14ac:dyDescent="0.3">
      <c r="B30" s="70"/>
      <c r="C30" s="376" t="s">
        <v>539</v>
      </c>
      <c r="D30" s="160"/>
      <c r="E30" s="161" t="s">
        <v>508</v>
      </c>
      <c r="F30" s="162">
        <f>F20+F25</f>
        <v>0</v>
      </c>
      <c r="G30" s="162">
        <f t="shared" ref="G30:I30" si="8">G20+G25</f>
        <v>0</v>
      </c>
      <c r="H30" s="162">
        <f t="shared" si="8"/>
        <v>0</v>
      </c>
      <c r="I30" s="279">
        <f t="shared" si="8"/>
        <v>0</v>
      </c>
      <c r="J30" s="160"/>
      <c r="K30" s="160"/>
      <c r="L30" s="160"/>
      <c r="M30" s="163"/>
      <c r="N30" s="163"/>
      <c r="O30" s="163"/>
      <c r="P30" s="164" t="s">
        <v>537</v>
      </c>
      <c r="Q30" s="165"/>
      <c r="R30" s="165"/>
      <c r="S30" s="165"/>
      <c r="T30" s="164" t="s">
        <v>538</v>
      </c>
      <c r="U30" s="165"/>
      <c r="V30" s="166"/>
      <c r="W30" s="166"/>
      <c r="X30" s="163"/>
      <c r="Y30" s="167">
        <f>I30-F30</f>
        <v>0</v>
      </c>
      <c r="Z30" s="366" t="str">
        <f>IF(Y31&lt;0,Y31*-1,"")</f>
        <v/>
      </c>
      <c r="AA30" s="371" t="str">
        <f>IF(Y31&gt;0,Y31,"")</f>
        <v/>
      </c>
      <c r="AB30" s="71"/>
    </row>
    <row r="31" spans="2:28" s="45" customFormat="1" ht="14.4" thickBot="1" x14ac:dyDescent="0.35">
      <c r="B31" s="83"/>
      <c r="C31" s="377"/>
      <c r="D31" s="168"/>
      <c r="E31" s="169" t="s">
        <v>110</v>
      </c>
      <c r="F31" s="170">
        <f>F23+F28</f>
        <v>0</v>
      </c>
      <c r="G31" s="170">
        <f t="shared" ref="G31:I31" si="9">G23+G28</f>
        <v>0</v>
      </c>
      <c r="H31" s="170">
        <f t="shared" si="9"/>
        <v>0</v>
      </c>
      <c r="I31" s="280">
        <f t="shared" si="9"/>
        <v>0</v>
      </c>
      <c r="J31" s="168"/>
      <c r="K31" s="168"/>
      <c r="L31" s="168"/>
      <c r="M31" s="171"/>
      <c r="N31" s="172"/>
      <c r="O31" s="172"/>
      <c r="P31" s="170">
        <f>N23+P23+N28+P28</f>
        <v>0</v>
      </c>
      <c r="Q31" s="171"/>
      <c r="R31" s="172"/>
      <c r="S31" s="172"/>
      <c r="T31" s="170">
        <f>R7+T7+R42+T42+R47+T47+R12+T12+R54+T54+R58+T58+R62+T62+R66+T66+R70+T70</f>
        <v>0</v>
      </c>
      <c r="U31" s="171"/>
      <c r="V31" s="171"/>
      <c r="W31" s="171"/>
      <c r="X31" s="170">
        <f>F31+P31+T31</f>
        <v>0</v>
      </c>
      <c r="Y31" s="170">
        <f>X31-I31</f>
        <v>0</v>
      </c>
      <c r="Z31" s="367"/>
      <c r="AA31" s="372"/>
      <c r="AB31" s="84"/>
    </row>
    <row r="32" spans="2:28" ht="7.5" customHeight="1" thickBot="1" x14ac:dyDescent="0.35">
      <c r="B32" s="74"/>
      <c r="C32" s="86"/>
      <c r="D32" s="86"/>
      <c r="E32" s="87"/>
      <c r="F32" s="88"/>
      <c r="G32" s="88"/>
      <c r="H32" s="88"/>
      <c r="I32" s="86"/>
      <c r="J32" s="86"/>
      <c r="K32" s="86"/>
      <c r="L32" s="86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75"/>
      <c r="AA32" s="75"/>
      <c r="AB32" s="78"/>
    </row>
    <row r="33" spans="2:28" ht="15" thickTop="1" thickBot="1" x14ac:dyDescent="0.35">
      <c r="C33" s="45"/>
      <c r="D33" s="45"/>
      <c r="E33" s="57"/>
      <c r="F33" s="46">
        <f>F8+F13+F23+F28</f>
        <v>0</v>
      </c>
      <c r="G33" s="17"/>
      <c r="H33" s="17"/>
      <c r="I33" s="46">
        <f>I8+I13+I23+I28</f>
        <v>0</v>
      </c>
      <c r="J33" s="45"/>
      <c r="K33" s="45"/>
      <c r="L33" s="4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46">
        <f>X8+X13++X23+X28</f>
        <v>0</v>
      </c>
      <c r="Y33" s="46">
        <f>Y8+Y13+Y23+Y28</f>
        <v>0</v>
      </c>
      <c r="Z33" s="39"/>
    </row>
    <row r="34" spans="2:28" ht="7.5" customHeight="1" thickTop="1" thickBot="1" x14ac:dyDescent="0.35">
      <c r="B34" s="79"/>
      <c r="C34" s="97"/>
      <c r="D34" s="97"/>
      <c r="E34" s="98"/>
      <c r="F34" s="99"/>
      <c r="G34" s="99"/>
      <c r="H34" s="99"/>
      <c r="I34" s="97"/>
      <c r="J34" s="97"/>
      <c r="K34" s="97"/>
      <c r="L34" s="97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80"/>
      <c r="AA34" s="80"/>
      <c r="AB34" s="82"/>
    </row>
    <row r="35" spans="2:28" x14ac:dyDescent="0.3">
      <c r="B35" s="70"/>
      <c r="C35" s="378" t="s">
        <v>530</v>
      </c>
      <c r="D35" s="50"/>
      <c r="E35" s="52" t="s">
        <v>508</v>
      </c>
      <c r="F35" s="89">
        <f>VLOOKUP($C$2,'Daten 2021'!$A$2:$BZ$78,34,0)</f>
        <v>0</v>
      </c>
      <c r="G35" s="136">
        <v>0</v>
      </c>
      <c r="H35" s="158"/>
      <c r="I35" s="90">
        <f>G35+H35</f>
        <v>0</v>
      </c>
      <c r="J35" s="1"/>
      <c r="K35" s="1"/>
      <c r="L35" s="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62"/>
      <c r="AA35" s="62"/>
      <c r="AB35" s="71"/>
    </row>
    <row r="36" spans="2:28" x14ac:dyDescent="0.3">
      <c r="B36" s="70"/>
      <c r="C36" s="379"/>
      <c r="D36" s="62"/>
      <c r="E36" s="63" t="s">
        <v>110</v>
      </c>
      <c r="F36" s="44">
        <f>VLOOKUP($C$2,'Daten 2021'!$A$2:$BZ$78,35,0)</f>
        <v>0</v>
      </c>
      <c r="G36" s="137">
        <v>0</v>
      </c>
      <c r="H36" s="159"/>
      <c r="I36" s="148">
        <f>G36+H36</f>
        <v>0</v>
      </c>
      <c r="J36" s="1"/>
      <c r="K36" s="1"/>
      <c r="L36" s="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62"/>
      <c r="AA36" s="62"/>
      <c r="AB36" s="71"/>
    </row>
    <row r="37" spans="2:28" ht="14.4" thickBot="1" x14ac:dyDescent="0.35">
      <c r="B37" s="70"/>
      <c r="C37" s="380"/>
      <c r="D37" s="149"/>
      <c r="E37" s="91"/>
      <c r="F37" s="92"/>
      <c r="G37" s="92"/>
      <c r="H37" s="92"/>
      <c r="I37" s="93"/>
      <c r="J37" s="1"/>
      <c r="K37" s="1"/>
      <c r="L37" s="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62"/>
      <c r="AA37" s="62"/>
      <c r="AB37" s="71"/>
    </row>
    <row r="38" spans="2:28" ht="7.5" customHeight="1" thickBot="1" x14ac:dyDescent="0.35">
      <c r="B38" s="74"/>
      <c r="C38" s="86"/>
      <c r="D38" s="86"/>
      <c r="E38" s="87"/>
      <c r="F38" s="88"/>
      <c r="G38" s="88"/>
      <c r="H38" s="88"/>
      <c r="I38" s="86"/>
      <c r="J38" s="86"/>
      <c r="K38" s="86"/>
      <c r="L38" s="86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75"/>
      <c r="AA38" s="75"/>
      <c r="AB38" s="78"/>
    </row>
    <row r="39" spans="2:28" ht="15" thickTop="1" thickBot="1" x14ac:dyDescent="0.35">
      <c r="C39" s="1"/>
      <c r="D39" s="1"/>
      <c r="E39" s="85"/>
      <c r="F39" s="17"/>
      <c r="G39" s="17"/>
      <c r="H39" s="17"/>
      <c r="I39" s="1"/>
      <c r="J39" s="45"/>
      <c r="K39" s="45"/>
      <c r="L39" s="4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6"/>
      <c r="Y39" s="46"/>
    </row>
    <row r="40" spans="2:28" ht="7.5" customHeight="1" thickTop="1" thickBot="1" x14ac:dyDescent="0.35">
      <c r="B40" s="79"/>
      <c r="C40" s="80"/>
      <c r="D40" s="80"/>
      <c r="E40" s="81"/>
      <c r="F40" s="100"/>
      <c r="G40" s="101"/>
      <c r="H40" s="101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2"/>
    </row>
    <row r="41" spans="2:28" x14ac:dyDescent="0.3">
      <c r="B41" s="70"/>
      <c r="C41" s="373" t="s">
        <v>517</v>
      </c>
      <c r="D41" s="50"/>
      <c r="E41" s="52" t="s">
        <v>508</v>
      </c>
      <c r="F41" s="89">
        <f>VLOOKUP($C$2,'Daten 2021'!$A$2:$BZ$78,40,0)</f>
        <v>0</v>
      </c>
      <c r="G41" s="94">
        <f>G5+G10+G20+G25</f>
        <v>0</v>
      </c>
      <c r="H41" s="94">
        <f>H5+H10+H20+H25</f>
        <v>0</v>
      </c>
      <c r="I41" s="64">
        <f>G41+H41</f>
        <v>0</v>
      </c>
      <c r="J41" s="50"/>
      <c r="K41" s="50"/>
      <c r="L41" s="105" t="s">
        <v>746</v>
      </c>
      <c r="M41" s="105"/>
      <c r="N41" s="105" t="s">
        <v>505</v>
      </c>
      <c r="O41" s="105"/>
      <c r="P41" s="105" t="s">
        <v>532</v>
      </c>
      <c r="Q41" s="105"/>
      <c r="R41" s="105" t="s">
        <v>503</v>
      </c>
      <c r="S41" s="105"/>
      <c r="T41" s="105" t="s">
        <v>504</v>
      </c>
      <c r="U41" s="95"/>
      <c r="V41" s="95"/>
      <c r="W41" s="95"/>
      <c r="X41" s="50"/>
      <c r="Y41" s="64"/>
      <c r="Z41" s="62"/>
      <c r="AA41" s="361" t="str">
        <f>IF((I43&lt;I42),((I43-I42)*-1),"")</f>
        <v/>
      </c>
      <c r="AB41" s="71"/>
    </row>
    <row r="42" spans="2:28" x14ac:dyDescent="0.3">
      <c r="B42" s="70"/>
      <c r="C42" s="374"/>
      <c r="D42" s="62"/>
      <c r="E42" s="85" t="s">
        <v>744</v>
      </c>
      <c r="F42" s="44">
        <f>VLOOKUP($C$2,'Daten 2021'!$A$2:$BZ$78,39,0)</f>
        <v>0</v>
      </c>
      <c r="G42" s="96"/>
      <c r="H42" s="103" t="str">
        <f>IF(AND(Dateneingabe!I41&lt;OS!C8,Dateneingabe!I41&gt;OS!C23),"10% Toleranz","")</f>
        <v/>
      </c>
      <c r="I42" s="281">
        <f>OS!D31</f>
        <v>0</v>
      </c>
      <c r="J42" s="62"/>
      <c r="K42" s="63"/>
      <c r="L42" s="145">
        <f>MAX(0,I43)</f>
        <v>0</v>
      </c>
      <c r="M42" s="48"/>
      <c r="N42" s="132">
        <v>0</v>
      </c>
      <c r="O42" s="48"/>
      <c r="P42" s="132">
        <v>0</v>
      </c>
      <c r="Q42" s="48"/>
      <c r="R42" s="132">
        <v>0</v>
      </c>
      <c r="S42" s="48"/>
      <c r="T42" s="132">
        <v>0</v>
      </c>
      <c r="U42" s="178">
        <f>N42+P42+R42+T42</f>
        <v>0</v>
      </c>
      <c r="V42" s="179"/>
      <c r="W42" s="179"/>
      <c r="X42" s="48"/>
      <c r="Y42" s="177">
        <f>I42-I43</f>
        <v>0</v>
      </c>
      <c r="Z42" s="62"/>
      <c r="AA42" s="362"/>
      <c r="AB42" s="71"/>
    </row>
    <row r="43" spans="2:28" x14ac:dyDescent="0.3">
      <c r="B43" s="70"/>
      <c r="C43" s="374"/>
      <c r="D43" s="62"/>
      <c r="E43" s="85" t="s">
        <v>110</v>
      </c>
      <c r="F43" s="44"/>
      <c r="G43" s="96"/>
      <c r="H43" s="103"/>
      <c r="I43" s="282">
        <v>0</v>
      </c>
      <c r="J43" s="62"/>
      <c r="K43" s="63"/>
      <c r="L43" s="176"/>
      <c r="M43" s="48"/>
      <c r="N43" s="44">
        <f>N42*-1</f>
        <v>0</v>
      </c>
      <c r="O43" s="140"/>
      <c r="P43" s="44">
        <f>P42*-1</f>
        <v>0</v>
      </c>
      <c r="Q43" s="140"/>
      <c r="R43" s="44">
        <f>R42*-1</f>
        <v>0</v>
      </c>
      <c r="S43" s="140"/>
      <c r="T43" s="44">
        <f>T42*-1</f>
        <v>0</v>
      </c>
      <c r="U43" s="178"/>
      <c r="V43" s="179"/>
      <c r="W43" s="179"/>
      <c r="X43" s="48"/>
      <c r="Y43" s="117"/>
      <c r="Z43" s="62"/>
      <c r="AA43" s="362"/>
      <c r="AB43" s="71"/>
    </row>
    <row r="44" spans="2:28" ht="14.4" thickBot="1" x14ac:dyDescent="0.35">
      <c r="B44" s="70"/>
      <c r="C44" s="375"/>
      <c r="D44" s="53"/>
      <c r="E44" s="56" t="s">
        <v>110</v>
      </c>
      <c r="F44" s="175"/>
      <c r="G44" s="175"/>
      <c r="H44" s="174"/>
      <c r="I44" s="283">
        <f>X44</f>
        <v>0</v>
      </c>
      <c r="J44" s="53"/>
      <c r="K44" s="144"/>
      <c r="L44" s="142"/>
      <c r="M44" s="55"/>
      <c r="N44" s="142"/>
      <c r="O44" s="142"/>
      <c r="P44" s="142"/>
      <c r="Q44" s="142"/>
      <c r="R44" s="142"/>
      <c r="S44" s="142"/>
      <c r="T44" s="142"/>
      <c r="U44" s="118"/>
      <c r="V44" s="118"/>
      <c r="W44" s="118"/>
      <c r="X44" s="146">
        <f>I43+M44+N43+O43+P43+Q43+R43+S43+T43+U44+V44</f>
        <v>0</v>
      </c>
      <c r="Y44" s="147">
        <f>I42-I43</f>
        <v>0</v>
      </c>
      <c r="Z44" s="62"/>
      <c r="AA44" s="363"/>
      <c r="AB44" s="71"/>
    </row>
    <row r="45" spans="2:28" ht="14.4" thickBot="1" x14ac:dyDescent="0.35">
      <c r="B45" s="70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71"/>
    </row>
    <row r="46" spans="2:28" x14ac:dyDescent="0.3">
      <c r="B46" s="70"/>
      <c r="C46" s="373" t="s">
        <v>524</v>
      </c>
      <c r="D46" s="50"/>
      <c r="E46" s="52" t="s">
        <v>508</v>
      </c>
      <c r="F46" s="89">
        <f>VLOOKUP($C$2,'Daten 2021'!$A$2:$BZ$78,36,0)</f>
        <v>0</v>
      </c>
      <c r="G46" s="51">
        <f>G35</f>
        <v>0</v>
      </c>
      <c r="H46" s="51">
        <f>H35</f>
        <v>0</v>
      </c>
      <c r="I46" s="90">
        <f>G46+H46</f>
        <v>0</v>
      </c>
      <c r="J46" s="50"/>
      <c r="K46" s="50"/>
      <c r="L46" s="105" t="s">
        <v>746</v>
      </c>
      <c r="M46" s="105"/>
      <c r="N46" s="105" t="s">
        <v>505</v>
      </c>
      <c r="O46" s="105"/>
      <c r="P46" s="105" t="s">
        <v>532</v>
      </c>
      <c r="Q46" s="105"/>
      <c r="R46" s="105" t="s">
        <v>503</v>
      </c>
      <c r="S46" s="105"/>
      <c r="T46" s="105" t="s">
        <v>504</v>
      </c>
      <c r="U46" s="95"/>
      <c r="V46" s="95"/>
      <c r="W46" s="95"/>
      <c r="X46" s="50"/>
      <c r="Y46" s="64"/>
      <c r="Z46" s="62"/>
      <c r="AA46" s="361" t="str">
        <f>IF((I48&lt;I47),((I48-I47)*-1),"")</f>
        <v/>
      </c>
      <c r="AB46" s="71"/>
    </row>
    <row r="47" spans="2:28" x14ac:dyDescent="0.3">
      <c r="B47" s="70"/>
      <c r="C47" s="374"/>
      <c r="D47" s="62"/>
      <c r="E47" s="85" t="s">
        <v>744</v>
      </c>
      <c r="F47" s="44">
        <f>VLOOKUP($C$2,'Daten 2021'!$A$2:$BZ$78,37,0)</f>
        <v>0</v>
      </c>
      <c r="G47" s="48"/>
      <c r="H47" s="48"/>
      <c r="I47" s="281">
        <f>I46*100</f>
        <v>0</v>
      </c>
      <c r="J47" s="62"/>
      <c r="K47" s="63"/>
      <c r="L47" s="145">
        <f>MAX(0,I48)</f>
        <v>0</v>
      </c>
      <c r="M47" s="48"/>
      <c r="N47" s="135">
        <v>0</v>
      </c>
      <c r="O47" s="48"/>
      <c r="P47" s="135">
        <v>0</v>
      </c>
      <c r="Q47" s="48"/>
      <c r="R47" s="135">
        <v>0</v>
      </c>
      <c r="S47" s="48"/>
      <c r="T47" s="135">
        <v>0</v>
      </c>
      <c r="U47" s="48"/>
      <c r="V47" s="178">
        <f>N47+P47+R47+T47</f>
        <v>0</v>
      </c>
      <c r="W47" s="48"/>
      <c r="X47" s="48"/>
      <c r="Y47" s="67"/>
      <c r="Z47" s="62"/>
      <c r="AA47" s="362"/>
      <c r="AB47" s="71"/>
    </row>
    <row r="48" spans="2:28" x14ac:dyDescent="0.3">
      <c r="B48" s="70"/>
      <c r="C48" s="374"/>
      <c r="D48" s="62"/>
      <c r="E48" s="85" t="s">
        <v>110</v>
      </c>
      <c r="F48" s="44"/>
      <c r="G48" s="48"/>
      <c r="H48" s="48"/>
      <c r="I48" s="284">
        <v>0</v>
      </c>
      <c r="J48" s="62"/>
      <c r="K48" s="63"/>
      <c r="L48" s="176"/>
      <c r="M48" s="48"/>
      <c r="N48" s="44">
        <f>N47*-1</f>
        <v>0</v>
      </c>
      <c r="O48" s="140"/>
      <c r="P48" s="44">
        <f>P47*-1</f>
        <v>0</v>
      </c>
      <c r="Q48" s="140"/>
      <c r="R48" s="44">
        <f>R47*-1</f>
        <v>0</v>
      </c>
      <c r="S48" s="140"/>
      <c r="T48" s="44">
        <f>T47*-1</f>
        <v>0</v>
      </c>
      <c r="U48" s="48"/>
      <c r="V48" s="141"/>
      <c r="W48" s="48"/>
      <c r="X48" s="48"/>
      <c r="Y48" s="67"/>
      <c r="Z48" s="62"/>
      <c r="AA48" s="362"/>
      <c r="AB48" s="71"/>
    </row>
    <row r="49" spans="2:28" ht="14.4" thickBot="1" x14ac:dyDescent="0.35">
      <c r="B49" s="70"/>
      <c r="C49" s="375"/>
      <c r="D49" s="53"/>
      <c r="E49" s="56" t="s">
        <v>110</v>
      </c>
      <c r="F49" s="175"/>
      <c r="G49" s="175"/>
      <c r="H49" s="174"/>
      <c r="I49" s="283">
        <f>X49</f>
        <v>0</v>
      </c>
      <c r="J49" s="53"/>
      <c r="K49" s="144"/>
      <c r="L49" s="142"/>
      <c r="M49" s="55"/>
      <c r="N49" s="142"/>
      <c r="O49" s="142"/>
      <c r="P49" s="142"/>
      <c r="Q49" s="142"/>
      <c r="R49" s="142"/>
      <c r="S49" s="142"/>
      <c r="T49" s="142"/>
      <c r="U49" s="142"/>
      <c r="V49" s="55"/>
      <c r="W49" s="55"/>
      <c r="X49" s="146">
        <f>I48+M49+N48+O48+P48+Q48+R48+S48+T48+U49+V49</f>
        <v>0</v>
      </c>
      <c r="Y49" s="147">
        <f>X49-I48</f>
        <v>0</v>
      </c>
      <c r="Z49" s="62"/>
      <c r="AA49" s="363"/>
      <c r="AB49" s="71"/>
    </row>
    <row r="50" spans="2:28" ht="7.5" customHeight="1" thickBot="1" x14ac:dyDescent="0.35">
      <c r="B50" s="74"/>
      <c r="C50" s="75"/>
      <c r="D50" s="75"/>
      <c r="E50" s="76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8"/>
    </row>
    <row r="51" spans="2:28" ht="15" thickTop="1" thickBot="1" x14ac:dyDescent="0.35"/>
    <row r="52" spans="2:28" ht="7.5" customHeight="1" thickTop="1" thickBot="1" x14ac:dyDescent="0.35">
      <c r="B52" s="79"/>
      <c r="C52" s="80"/>
      <c r="D52" s="80"/>
      <c r="E52" s="81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2"/>
    </row>
    <row r="53" spans="2:28" x14ac:dyDescent="0.3">
      <c r="B53" s="70"/>
      <c r="C53" s="49" t="s">
        <v>510</v>
      </c>
      <c r="D53" s="50"/>
      <c r="E53" s="52" t="s">
        <v>508</v>
      </c>
      <c r="F53" s="51">
        <f>VLOOKUP($C$2,'Daten 2021'!$A$2:$BZ$78,22,0)</f>
        <v>0</v>
      </c>
      <c r="G53" s="133">
        <v>0</v>
      </c>
      <c r="H53" s="133">
        <v>0</v>
      </c>
      <c r="I53" s="90">
        <f>G53+H53</f>
        <v>0</v>
      </c>
      <c r="J53" s="50"/>
      <c r="K53" s="50"/>
      <c r="L53" s="105" t="s">
        <v>746</v>
      </c>
      <c r="M53" s="105"/>
      <c r="N53" s="105" t="s">
        <v>505</v>
      </c>
      <c r="O53" s="105"/>
      <c r="P53" s="105" t="s">
        <v>532</v>
      </c>
      <c r="Q53" s="105"/>
      <c r="R53" s="105" t="s">
        <v>503</v>
      </c>
      <c r="S53" s="105"/>
      <c r="T53" s="105" t="s">
        <v>504</v>
      </c>
      <c r="U53" s="95"/>
      <c r="V53" s="95"/>
      <c r="W53" s="95"/>
      <c r="X53" s="50"/>
      <c r="Y53" s="64"/>
      <c r="Z53" s="62"/>
      <c r="AA53" s="361" t="str">
        <f>IF(Y55&gt;0,Y55,"")</f>
        <v/>
      </c>
      <c r="AB53" s="71"/>
    </row>
    <row r="54" spans="2:28" x14ac:dyDescent="0.3">
      <c r="B54" s="70"/>
      <c r="C54" s="66" t="s">
        <v>576</v>
      </c>
      <c r="D54" s="62"/>
      <c r="E54" s="63"/>
      <c r="F54" s="48"/>
      <c r="G54" s="48"/>
      <c r="H54" s="48"/>
      <c r="I54" s="67"/>
      <c r="J54" s="62"/>
      <c r="K54" s="63" t="s">
        <v>745</v>
      </c>
      <c r="L54" s="145">
        <f>MAX(0,K55)</f>
        <v>0</v>
      </c>
      <c r="M54" s="48"/>
      <c r="N54" s="135">
        <v>0</v>
      </c>
      <c r="O54" s="48"/>
      <c r="P54" s="135">
        <v>0</v>
      </c>
      <c r="Q54" s="48"/>
      <c r="R54" s="135">
        <v>0</v>
      </c>
      <c r="S54" s="48"/>
      <c r="T54" s="135">
        <v>0</v>
      </c>
      <c r="U54" s="48"/>
      <c r="V54" s="48"/>
      <c r="W54" s="178">
        <f>N54+P54+R54+T54</f>
        <v>0</v>
      </c>
      <c r="X54" s="48"/>
      <c r="Y54" s="67"/>
      <c r="Z54" s="62"/>
      <c r="AA54" s="362"/>
      <c r="AB54" s="71"/>
    </row>
    <row r="55" spans="2:28" ht="14.4" thickBot="1" x14ac:dyDescent="0.35">
      <c r="B55" s="70"/>
      <c r="C55" s="381"/>
      <c r="D55" s="382"/>
      <c r="E55" s="56" t="s">
        <v>110</v>
      </c>
      <c r="F55" s="54">
        <f>VLOOKUP($C$2,'Daten 2021'!$A$2:$BZ$78,23,0)</f>
        <v>0</v>
      </c>
      <c r="G55" s="134">
        <v>0</v>
      </c>
      <c r="H55" s="134">
        <v>0</v>
      </c>
      <c r="I55" s="147">
        <f>G55+H55</f>
        <v>0</v>
      </c>
      <c r="J55" s="143"/>
      <c r="K55" s="144">
        <f>F55-I55</f>
        <v>0</v>
      </c>
      <c r="L55" s="53"/>
      <c r="M55" s="55"/>
      <c r="N55" s="54">
        <f>N54*-1</f>
        <v>0</v>
      </c>
      <c r="O55" s="55"/>
      <c r="P55" s="54">
        <f>P54*-1</f>
        <v>0</v>
      </c>
      <c r="Q55" s="55"/>
      <c r="R55" s="54">
        <f>R54*-1</f>
        <v>0</v>
      </c>
      <c r="S55" s="55"/>
      <c r="T55" s="54">
        <f>T54*-1</f>
        <v>0</v>
      </c>
      <c r="U55" s="55"/>
      <c r="V55" s="55"/>
      <c r="W55" s="55"/>
      <c r="X55" s="146">
        <f>F55+M55+N55+O55+P55+Q55+R55+S55+T55+U55+V55</f>
        <v>0</v>
      </c>
      <c r="Y55" s="147">
        <f>X55-I55</f>
        <v>0</v>
      </c>
      <c r="Z55" s="62"/>
      <c r="AA55" s="363"/>
      <c r="AB55" s="71"/>
    </row>
    <row r="56" spans="2:28" ht="14.4" thickBot="1" x14ac:dyDescent="0.35">
      <c r="B56" s="70"/>
      <c r="C56" s="62"/>
      <c r="D56" s="62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71"/>
    </row>
    <row r="57" spans="2:28" x14ac:dyDescent="0.3">
      <c r="B57" s="70"/>
      <c r="C57" s="49" t="s">
        <v>511</v>
      </c>
      <c r="D57" s="50"/>
      <c r="E57" s="52" t="s">
        <v>508</v>
      </c>
      <c r="F57" s="51">
        <f>VLOOKUP($C$2,'Daten 2021'!$A$2:$BZ$78,24,0)</f>
        <v>0</v>
      </c>
      <c r="G57" s="133">
        <v>0</v>
      </c>
      <c r="H57" s="133">
        <v>0</v>
      </c>
      <c r="I57" s="90">
        <f>G57+H57</f>
        <v>0</v>
      </c>
      <c r="J57" s="50"/>
      <c r="K57" s="50"/>
      <c r="L57" s="105" t="s">
        <v>746</v>
      </c>
      <c r="M57" s="105"/>
      <c r="N57" s="105" t="s">
        <v>505</v>
      </c>
      <c r="O57" s="105"/>
      <c r="P57" s="105" t="s">
        <v>532</v>
      </c>
      <c r="Q57" s="105"/>
      <c r="R57" s="105" t="s">
        <v>503</v>
      </c>
      <c r="S57" s="105"/>
      <c r="T57" s="105" t="s">
        <v>504</v>
      </c>
      <c r="U57" s="95"/>
      <c r="V57" s="95"/>
      <c r="W57" s="95"/>
      <c r="X57" s="50"/>
      <c r="Y57" s="64"/>
      <c r="Z57" s="62"/>
      <c r="AA57" s="361" t="str">
        <f>IF(Y59&gt;0,Y59,"")</f>
        <v/>
      </c>
      <c r="AB57" s="71"/>
    </row>
    <row r="58" spans="2:28" x14ac:dyDescent="0.3">
      <c r="B58" s="70"/>
      <c r="C58" s="66" t="s">
        <v>576</v>
      </c>
      <c r="D58" s="62"/>
      <c r="E58" s="63"/>
      <c r="F58" s="48"/>
      <c r="G58" s="48"/>
      <c r="H58" s="48"/>
      <c r="I58" s="67"/>
      <c r="J58" s="62"/>
      <c r="K58" s="63" t="s">
        <v>745</v>
      </c>
      <c r="L58" s="145">
        <f>MAX(0,K59)</f>
        <v>0</v>
      </c>
      <c r="M58" s="48"/>
      <c r="N58" s="135">
        <v>0</v>
      </c>
      <c r="O58" s="48"/>
      <c r="P58" s="135">
        <v>0</v>
      </c>
      <c r="Q58" s="48"/>
      <c r="R58" s="135">
        <v>0</v>
      </c>
      <c r="S58" s="48"/>
      <c r="T58" s="135">
        <v>0</v>
      </c>
      <c r="U58" s="48"/>
      <c r="V58" s="48"/>
      <c r="W58" s="178">
        <f>N58+P58+R58+T58</f>
        <v>0</v>
      </c>
      <c r="X58" s="48"/>
      <c r="Y58" s="67"/>
      <c r="Z58" s="62"/>
      <c r="AA58" s="362"/>
      <c r="AB58" s="71"/>
    </row>
    <row r="59" spans="2:28" ht="14.4" thickBot="1" x14ac:dyDescent="0.35">
      <c r="B59" s="70"/>
      <c r="C59" s="381"/>
      <c r="D59" s="382"/>
      <c r="E59" s="56" t="s">
        <v>110</v>
      </c>
      <c r="F59" s="54">
        <f>VLOOKUP($C$2,'Daten 2021'!$A$2:$BZ$78,25,0)</f>
        <v>0</v>
      </c>
      <c r="G59" s="134">
        <v>0</v>
      </c>
      <c r="H59" s="134">
        <v>0</v>
      </c>
      <c r="I59" s="147">
        <f>G59+H59</f>
        <v>0</v>
      </c>
      <c r="J59" s="143"/>
      <c r="K59" s="144">
        <f>F59-I59</f>
        <v>0</v>
      </c>
      <c r="L59" s="53"/>
      <c r="M59" s="55"/>
      <c r="N59" s="54">
        <f>N58*-1</f>
        <v>0</v>
      </c>
      <c r="O59" s="55"/>
      <c r="P59" s="54">
        <f>P58*-1</f>
        <v>0</v>
      </c>
      <c r="Q59" s="55"/>
      <c r="R59" s="54">
        <f>R58*-1</f>
        <v>0</v>
      </c>
      <c r="S59" s="55"/>
      <c r="T59" s="54">
        <f>T58*-1</f>
        <v>0</v>
      </c>
      <c r="U59" s="55"/>
      <c r="V59" s="55"/>
      <c r="W59" s="55"/>
      <c r="X59" s="146">
        <f>F59+M59+N59+O59+P59+Q59+R59+S59+T59+U59+V59</f>
        <v>0</v>
      </c>
      <c r="Y59" s="147">
        <f>X59-I59</f>
        <v>0</v>
      </c>
      <c r="Z59" s="62"/>
      <c r="AA59" s="363"/>
      <c r="AB59" s="71"/>
    </row>
    <row r="60" spans="2:28" ht="14.4" thickBot="1" x14ac:dyDescent="0.35">
      <c r="B60" s="70"/>
      <c r="C60" s="62"/>
      <c r="D60" s="62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71"/>
    </row>
    <row r="61" spans="2:28" x14ac:dyDescent="0.3">
      <c r="B61" s="70"/>
      <c r="C61" s="49" t="s">
        <v>512</v>
      </c>
      <c r="D61" s="50"/>
      <c r="E61" s="52" t="s">
        <v>508</v>
      </c>
      <c r="F61" s="51">
        <f>VLOOKUP($C$2,'Daten 2021'!$A$2:$BZ$78,26,0)</f>
        <v>0</v>
      </c>
      <c r="G61" s="133">
        <v>0</v>
      </c>
      <c r="H61" s="133">
        <v>0</v>
      </c>
      <c r="I61" s="90">
        <f>G61+H61</f>
        <v>0</v>
      </c>
      <c r="J61" s="50"/>
      <c r="K61" s="50"/>
      <c r="L61" s="105" t="s">
        <v>746</v>
      </c>
      <c r="M61" s="105"/>
      <c r="N61" s="105" t="s">
        <v>505</v>
      </c>
      <c r="O61" s="105"/>
      <c r="P61" s="105" t="s">
        <v>532</v>
      </c>
      <c r="Q61" s="105"/>
      <c r="R61" s="105" t="s">
        <v>503</v>
      </c>
      <c r="S61" s="105"/>
      <c r="T61" s="105" t="s">
        <v>504</v>
      </c>
      <c r="U61" s="95"/>
      <c r="V61" s="95"/>
      <c r="W61" s="95"/>
      <c r="X61" s="50"/>
      <c r="Y61" s="64"/>
      <c r="Z61" s="62"/>
      <c r="AA61" s="361" t="str">
        <f>IF(Y63&gt;0,Y63,"")</f>
        <v/>
      </c>
      <c r="AB61" s="71"/>
    </row>
    <row r="62" spans="2:28" x14ac:dyDescent="0.3">
      <c r="B62" s="70"/>
      <c r="C62" s="66" t="s">
        <v>576</v>
      </c>
      <c r="D62" s="62"/>
      <c r="E62" s="63"/>
      <c r="F62" s="48"/>
      <c r="G62" s="48"/>
      <c r="H62" s="48"/>
      <c r="I62" s="67"/>
      <c r="J62" s="62"/>
      <c r="K62" s="63" t="s">
        <v>745</v>
      </c>
      <c r="L62" s="145">
        <f>MAX(0,K63)</f>
        <v>0</v>
      </c>
      <c r="M62" s="48"/>
      <c r="N62" s="135">
        <v>0</v>
      </c>
      <c r="O62" s="48"/>
      <c r="P62" s="135">
        <v>0</v>
      </c>
      <c r="Q62" s="48"/>
      <c r="R62" s="135">
        <v>0</v>
      </c>
      <c r="S62" s="48"/>
      <c r="T62" s="135">
        <v>0</v>
      </c>
      <c r="U62" s="48"/>
      <c r="V62" s="48"/>
      <c r="W62" s="178">
        <f>N62+P62+R62+T62</f>
        <v>0</v>
      </c>
      <c r="X62" s="48"/>
      <c r="Y62" s="67"/>
      <c r="Z62" s="62"/>
      <c r="AA62" s="362"/>
      <c r="AB62" s="71"/>
    </row>
    <row r="63" spans="2:28" ht="14.4" thickBot="1" x14ac:dyDescent="0.35">
      <c r="B63" s="70"/>
      <c r="C63" s="381"/>
      <c r="D63" s="382"/>
      <c r="E63" s="56" t="s">
        <v>110</v>
      </c>
      <c r="F63" s="54">
        <f>VLOOKUP($C$2,'Daten 2021'!$A$2:$BZ$78,27,0)</f>
        <v>0</v>
      </c>
      <c r="G63" s="134">
        <v>0</v>
      </c>
      <c r="H63" s="134">
        <v>0</v>
      </c>
      <c r="I63" s="147">
        <f>G63+H63</f>
        <v>0</v>
      </c>
      <c r="J63" s="143"/>
      <c r="K63" s="144">
        <f>F63-I63</f>
        <v>0</v>
      </c>
      <c r="L63" s="53"/>
      <c r="M63" s="55"/>
      <c r="N63" s="54">
        <f>N62*-1</f>
        <v>0</v>
      </c>
      <c r="O63" s="55"/>
      <c r="P63" s="54">
        <f>P62*-1</f>
        <v>0</v>
      </c>
      <c r="Q63" s="55"/>
      <c r="R63" s="54">
        <f>R62*-1</f>
        <v>0</v>
      </c>
      <c r="S63" s="55"/>
      <c r="T63" s="54">
        <f>T62*-1</f>
        <v>0</v>
      </c>
      <c r="U63" s="55"/>
      <c r="V63" s="55"/>
      <c r="W63" s="55"/>
      <c r="X63" s="146">
        <f>F63+M63+N63+O63+P63+Q63+R63+S63+T63+U63+V63</f>
        <v>0</v>
      </c>
      <c r="Y63" s="147">
        <f>X63-I63</f>
        <v>0</v>
      </c>
      <c r="Z63" s="62"/>
      <c r="AA63" s="363"/>
      <c r="AB63" s="71"/>
    </row>
    <row r="64" spans="2:28" ht="14.4" thickBot="1" x14ac:dyDescent="0.35">
      <c r="B64" s="70"/>
      <c r="C64" s="62"/>
      <c r="D64" s="62"/>
      <c r="E64" s="63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71"/>
    </row>
    <row r="65" spans="2:28" x14ac:dyDescent="0.3">
      <c r="B65" s="70"/>
      <c r="C65" s="49" t="s">
        <v>513</v>
      </c>
      <c r="D65" s="50"/>
      <c r="E65" s="52" t="s">
        <v>508</v>
      </c>
      <c r="F65" s="51">
        <f>VLOOKUP($C$2,'Daten 2021'!$A$2:$BZ$78,28,0)</f>
        <v>0</v>
      </c>
      <c r="G65" s="133">
        <v>0</v>
      </c>
      <c r="H65" s="133">
        <v>0</v>
      </c>
      <c r="I65" s="90">
        <f>G65+H65</f>
        <v>0</v>
      </c>
      <c r="J65" s="50"/>
      <c r="K65" s="50"/>
      <c r="L65" s="105" t="s">
        <v>746</v>
      </c>
      <c r="M65" s="105"/>
      <c r="N65" s="105" t="s">
        <v>505</v>
      </c>
      <c r="O65" s="105"/>
      <c r="P65" s="105" t="s">
        <v>532</v>
      </c>
      <c r="Q65" s="105"/>
      <c r="R65" s="105" t="s">
        <v>503</v>
      </c>
      <c r="S65" s="105"/>
      <c r="T65" s="105" t="s">
        <v>504</v>
      </c>
      <c r="U65" s="95"/>
      <c r="V65" s="95"/>
      <c r="W65" s="95"/>
      <c r="X65" s="50"/>
      <c r="Y65" s="64"/>
      <c r="Z65" s="62"/>
      <c r="AA65" s="361" t="str">
        <f>IF(Y67&gt;0,Y67,"")</f>
        <v/>
      </c>
      <c r="AB65" s="71"/>
    </row>
    <row r="66" spans="2:28" x14ac:dyDescent="0.3">
      <c r="B66" s="70"/>
      <c r="C66" s="66" t="s">
        <v>576</v>
      </c>
      <c r="D66" s="62"/>
      <c r="E66" s="63"/>
      <c r="F66" s="48"/>
      <c r="G66" s="48"/>
      <c r="H66" s="48"/>
      <c r="I66" s="67"/>
      <c r="J66" s="62"/>
      <c r="K66" s="63" t="s">
        <v>745</v>
      </c>
      <c r="L66" s="145">
        <f>MAX(0,K67)</f>
        <v>0</v>
      </c>
      <c r="M66" s="48"/>
      <c r="N66" s="135">
        <v>0</v>
      </c>
      <c r="O66" s="48"/>
      <c r="P66" s="135">
        <v>0</v>
      </c>
      <c r="Q66" s="48"/>
      <c r="R66" s="135">
        <v>0</v>
      </c>
      <c r="S66" s="48"/>
      <c r="T66" s="135">
        <v>0</v>
      </c>
      <c r="U66" s="48"/>
      <c r="V66" s="48"/>
      <c r="W66" s="178">
        <f>N66+P66+R66+T66</f>
        <v>0</v>
      </c>
      <c r="X66" s="48"/>
      <c r="Y66" s="67"/>
      <c r="Z66" s="62"/>
      <c r="AA66" s="362"/>
      <c r="AB66" s="71"/>
    </row>
    <row r="67" spans="2:28" ht="14.4" thickBot="1" x14ac:dyDescent="0.35">
      <c r="B67" s="70"/>
      <c r="C67" s="381"/>
      <c r="D67" s="382"/>
      <c r="E67" s="56" t="s">
        <v>110</v>
      </c>
      <c r="F67" s="54">
        <f>VLOOKUP($C$2,'Daten 2021'!$A$2:$BZ$78,29,0)</f>
        <v>0</v>
      </c>
      <c r="G67" s="134">
        <v>0</v>
      </c>
      <c r="H67" s="134">
        <v>0</v>
      </c>
      <c r="I67" s="147">
        <f>G67+H67</f>
        <v>0</v>
      </c>
      <c r="J67" s="143"/>
      <c r="K67" s="144">
        <f>F67-I67</f>
        <v>0</v>
      </c>
      <c r="L67" s="53"/>
      <c r="M67" s="55"/>
      <c r="N67" s="54">
        <f>N66*-1</f>
        <v>0</v>
      </c>
      <c r="O67" s="55"/>
      <c r="P67" s="54">
        <f>P66*-1</f>
        <v>0</v>
      </c>
      <c r="Q67" s="55"/>
      <c r="R67" s="54">
        <f>R66*-1</f>
        <v>0</v>
      </c>
      <c r="S67" s="55"/>
      <c r="T67" s="54">
        <f>T66*-1</f>
        <v>0</v>
      </c>
      <c r="U67" s="55"/>
      <c r="V67" s="55"/>
      <c r="W67" s="55"/>
      <c r="X67" s="146">
        <f>F67+M67+N67+O67+P67+Q67+R67+S67+T67+U67+V67</f>
        <v>0</v>
      </c>
      <c r="Y67" s="147">
        <f>X67-I67</f>
        <v>0</v>
      </c>
      <c r="Z67" s="62"/>
      <c r="AA67" s="363"/>
      <c r="AB67" s="71"/>
    </row>
    <row r="68" spans="2:28" ht="14.4" thickBot="1" x14ac:dyDescent="0.35">
      <c r="B68" s="70"/>
      <c r="C68" s="62"/>
      <c r="D68" s="62"/>
      <c r="E68" s="63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71"/>
    </row>
    <row r="69" spans="2:28" x14ac:dyDescent="0.3">
      <c r="B69" s="70"/>
      <c r="C69" s="49" t="s">
        <v>514</v>
      </c>
      <c r="D69" s="50"/>
      <c r="E69" s="52" t="s">
        <v>508</v>
      </c>
      <c r="F69" s="51">
        <f>VLOOKUP($C$2,'Daten 2021'!$A$2:$BZ$78,30,0)</f>
        <v>0</v>
      </c>
      <c r="G69" s="133">
        <v>0</v>
      </c>
      <c r="H69" s="133">
        <v>0</v>
      </c>
      <c r="I69" s="90">
        <f>G69+H69</f>
        <v>0</v>
      </c>
      <c r="J69" s="50"/>
      <c r="K69" s="50"/>
      <c r="L69" s="105" t="s">
        <v>746</v>
      </c>
      <c r="M69" s="105"/>
      <c r="N69" s="105" t="s">
        <v>505</v>
      </c>
      <c r="O69" s="105"/>
      <c r="P69" s="105" t="s">
        <v>532</v>
      </c>
      <c r="Q69" s="105"/>
      <c r="R69" s="105" t="s">
        <v>503</v>
      </c>
      <c r="S69" s="105"/>
      <c r="T69" s="105" t="s">
        <v>504</v>
      </c>
      <c r="U69" s="95"/>
      <c r="V69" s="95"/>
      <c r="W69" s="95"/>
      <c r="X69" s="50"/>
      <c r="Y69" s="64"/>
      <c r="Z69" s="62"/>
      <c r="AA69" s="361" t="str">
        <f>IF(Y71&gt;0,Y71,"")</f>
        <v/>
      </c>
      <c r="AB69" s="71"/>
    </row>
    <row r="70" spans="2:28" x14ac:dyDescent="0.3">
      <c r="B70" s="70"/>
      <c r="C70" s="66" t="s">
        <v>576</v>
      </c>
      <c r="D70" s="62"/>
      <c r="E70" s="63"/>
      <c r="F70" s="48"/>
      <c r="G70" s="48"/>
      <c r="H70" s="48"/>
      <c r="I70" s="67"/>
      <c r="J70" s="62"/>
      <c r="K70" s="63" t="s">
        <v>745</v>
      </c>
      <c r="L70" s="145">
        <f>MAX(0,K71)</f>
        <v>0</v>
      </c>
      <c r="M70" s="48"/>
      <c r="N70" s="135">
        <v>0</v>
      </c>
      <c r="O70" s="48"/>
      <c r="P70" s="135">
        <v>0</v>
      </c>
      <c r="Q70" s="48"/>
      <c r="R70" s="135">
        <v>0</v>
      </c>
      <c r="S70" s="48"/>
      <c r="T70" s="135">
        <v>0</v>
      </c>
      <c r="U70" s="48"/>
      <c r="V70" s="48"/>
      <c r="W70" s="178">
        <f>N70+P70+R70+T70</f>
        <v>0</v>
      </c>
      <c r="X70" s="48"/>
      <c r="Y70" s="67"/>
      <c r="Z70" s="62"/>
      <c r="AA70" s="362"/>
      <c r="AB70" s="71"/>
    </row>
    <row r="71" spans="2:28" ht="14.4" thickBot="1" x14ac:dyDescent="0.35">
      <c r="B71" s="70"/>
      <c r="C71" s="381"/>
      <c r="D71" s="382"/>
      <c r="E71" s="56" t="s">
        <v>110</v>
      </c>
      <c r="F71" s="54">
        <f>VLOOKUP($C$2,'Daten 2021'!$A$2:$BZ$78,31,0)</f>
        <v>0</v>
      </c>
      <c r="G71" s="134">
        <v>0</v>
      </c>
      <c r="H71" s="134">
        <v>0</v>
      </c>
      <c r="I71" s="147">
        <f>G71+H71</f>
        <v>0</v>
      </c>
      <c r="J71" s="143"/>
      <c r="K71" s="144">
        <f>F71-I71</f>
        <v>0</v>
      </c>
      <c r="L71" s="53"/>
      <c r="M71" s="55"/>
      <c r="N71" s="54">
        <f>N70*-1</f>
        <v>0</v>
      </c>
      <c r="O71" s="55"/>
      <c r="P71" s="54">
        <f>P70*-1</f>
        <v>0</v>
      </c>
      <c r="Q71" s="55"/>
      <c r="R71" s="54">
        <f>R70*-1</f>
        <v>0</v>
      </c>
      <c r="S71" s="55"/>
      <c r="T71" s="54">
        <f>T70*-1</f>
        <v>0</v>
      </c>
      <c r="U71" s="55"/>
      <c r="V71" s="55"/>
      <c r="W71" s="55"/>
      <c r="X71" s="146">
        <f>F71+M71+N71+O71+P71+Q71+R71+S71+T71+U71+V71</f>
        <v>0</v>
      </c>
      <c r="Y71" s="147">
        <f>X71-I71</f>
        <v>0</v>
      </c>
      <c r="Z71" s="62"/>
      <c r="AA71" s="363"/>
      <c r="AB71" s="71"/>
    </row>
    <row r="72" spans="2:28" ht="14.4" thickBot="1" x14ac:dyDescent="0.35">
      <c r="B72" s="70"/>
      <c r="C72" s="339"/>
      <c r="D72" s="339"/>
      <c r="E72" s="63"/>
      <c r="F72" s="17"/>
      <c r="G72" s="340"/>
      <c r="H72" s="340"/>
      <c r="I72" s="345"/>
      <c r="J72" s="342"/>
      <c r="K72" s="343"/>
      <c r="L72" s="62"/>
      <c r="M72" s="140"/>
      <c r="N72" s="44"/>
      <c r="O72" s="140"/>
      <c r="P72" s="44"/>
      <c r="Q72" s="140"/>
      <c r="R72" s="44"/>
      <c r="S72" s="140"/>
      <c r="T72" s="44"/>
      <c r="U72" s="140"/>
      <c r="V72" s="140"/>
      <c r="W72" s="140"/>
      <c r="X72" s="341"/>
      <c r="Y72" s="341"/>
      <c r="Z72" s="62"/>
      <c r="AA72" s="344"/>
      <c r="AB72" s="71"/>
    </row>
    <row r="73" spans="2:28" x14ac:dyDescent="0.3">
      <c r="B73" s="70"/>
      <c r="C73" s="49" t="s">
        <v>811</v>
      </c>
      <c r="D73" s="50"/>
      <c r="E73" s="52" t="s">
        <v>508</v>
      </c>
      <c r="F73" s="51">
        <f>VLOOKUP($C$2,'Daten 2021'!$A$2:$BZ$78,32,0)</f>
        <v>0</v>
      </c>
      <c r="G73" s="133">
        <v>0</v>
      </c>
      <c r="H73" s="133">
        <v>0</v>
      </c>
      <c r="I73" s="90">
        <f>G73+H73</f>
        <v>0</v>
      </c>
      <c r="J73" s="342"/>
      <c r="K73" s="343"/>
      <c r="L73" s="62"/>
      <c r="M73" s="140"/>
      <c r="N73" s="44"/>
      <c r="O73" s="140"/>
      <c r="P73" s="44"/>
      <c r="Q73" s="140"/>
      <c r="R73" s="44"/>
      <c r="S73" s="140"/>
      <c r="T73" s="44"/>
      <c r="U73" s="140"/>
      <c r="V73" s="140"/>
      <c r="W73" s="140"/>
      <c r="X73" s="341"/>
      <c r="Y73" s="341"/>
      <c r="Z73" s="62"/>
      <c r="AA73" s="344"/>
      <c r="AB73" s="71"/>
    </row>
    <row r="74" spans="2:28" x14ac:dyDescent="0.3">
      <c r="B74" s="70"/>
      <c r="C74" s="66" t="s">
        <v>576</v>
      </c>
      <c r="D74" s="62"/>
      <c r="E74" s="63"/>
      <c r="F74" s="48"/>
      <c r="G74" s="48"/>
      <c r="H74" s="48"/>
      <c r="I74" s="67"/>
      <c r="J74" s="342"/>
      <c r="K74" s="343"/>
      <c r="L74" s="62"/>
      <c r="M74" s="140"/>
      <c r="N74" s="44"/>
      <c r="O74" s="140"/>
      <c r="P74" s="44"/>
      <c r="Q74" s="140"/>
      <c r="R74" s="44"/>
      <c r="S74" s="140"/>
      <c r="T74" s="44"/>
      <c r="U74" s="140"/>
      <c r="V74" s="140"/>
      <c r="W74" s="140"/>
      <c r="X74" s="341"/>
      <c r="Y74" s="341"/>
      <c r="Z74" s="62"/>
      <c r="AA74" s="344"/>
      <c r="AB74" s="71"/>
    </row>
    <row r="75" spans="2:28" ht="14.4" thickBot="1" x14ac:dyDescent="0.35">
      <c r="B75" s="70"/>
      <c r="C75" s="381"/>
      <c r="D75" s="382"/>
      <c r="E75" s="56" t="s">
        <v>110</v>
      </c>
      <c r="F75" s="54">
        <f>VLOOKUP($C$2,'Daten 2021'!$A$2:$BZ$78,33,0)</f>
        <v>0</v>
      </c>
      <c r="G75" s="134">
        <v>0</v>
      </c>
      <c r="H75" s="134">
        <v>0</v>
      </c>
      <c r="I75" s="147">
        <f>G75+H75</f>
        <v>0</v>
      </c>
      <c r="J75" s="342"/>
      <c r="K75" s="343"/>
      <c r="L75" s="62"/>
      <c r="M75" s="140"/>
      <c r="N75" s="44"/>
      <c r="O75" s="140"/>
      <c r="P75" s="44"/>
      <c r="Q75" s="140"/>
      <c r="R75" s="44"/>
      <c r="S75" s="140"/>
      <c r="T75" s="44"/>
      <c r="U75" s="140"/>
      <c r="V75" s="140"/>
      <c r="W75" s="140"/>
      <c r="X75" s="341"/>
      <c r="Y75" s="341"/>
      <c r="Z75" s="62"/>
      <c r="AA75" s="344"/>
      <c r="AB75" s="71"/>
    </row>
    <row r="76" spans="2:28" ht="7.5" customHeight="1" thickBot="1" x14ac:dyDescent="0.35">
      <c r="B76" s="74"/>
      <c r="C76" s="75"/>
      <c r="D76" s="75"/>
      <c r="E76" s="76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8"/>
    </row>
    <row r="77" spans="2:28" ht="14.4" thickTop="1" x14ac:dyDescent="0.3"/>
    <row r="78" spans="2:28" ht="27.75" customHeight="1" x14ac:dyDescent="0.3">
      <c r="F78" s="123" t="s">
        <v>555</v>
      </c>
      <c r="I78" s="157" t="s">
        <v>1</v>
      </c>
    </row>
    <row r="79" spans="2:28" x14ac:dyDescent="0.3">
      <c r="C79" s="29" t="s">
        <v>747</v>
      </c>
      <c r="E79" s="47" t="s">
        <v>110</v>
      </c>
      <c r="F79" s="39">
        <f>F8+F13+F23+F28</f>
        <v>0</v>
      </c>
      <c r="I79" s="39">
        <f>I8+I13+I23+I28</f>
        <v>0</v>
      </c>
    </row>
    <row r="80" spans="2:28" x14ac:dyDescent="0.3">
      <c r="C80" s="29" t="s">
        <v>550</v>
      </c>
      <c r="E80" s="47" t="s">
        <v>110</v>
      </c>
      <c r="F80" s="39">
        <f>F36</f>
        <v>0</v>
      </c>
      <c r="I80" s="39">
        <f>I36</f>
        <v>0</v>
      </c>
    </row>
    <row r="81" spans="3:25" x14ac:dyDescent="0.3">
      <c r="C81" s="29" t="s">
        <v>748</v>
      </c>
      <c r="E81" s="47" t="s">
        <v>110</v>
      </c>
      <c r="F81" s="39">
        <f>F42+F47</f>
        <v>0</v>
      </c>
      <c r="I81" s="39">
        <f>I44+I49</f>
        <v>0</v>
      </c>
    </row>
    <row r="82" spans="3:25" x14ac:dyDescent="0.3">
      <c r="C82" s="29" t="s">
        <v>551</v>
      </c>
      <c r="E82" s="47" t="s">
        <v>110</v>
      </c>
      <c r="F82" s="39">
        <f>F55+F59+F63+F67+F71+F75</f>
        <v>0</v>
      </c>
      <c r="I82" s="39">
        <f>I55+I59+I63+I67+I71+I75</f>
        <v>0</v>
      </c>
      <c r="N82" s="47"/>
    </row>
    <row r="83" spans="3:25" x14ac:dyDescent="0.3">
      <c r="C83" s="29" t="s">
        <v>111</v>
      </c>
      <c r="F83" s="39">
        <f>SUM(F79:F82)</f>
        <v>0</v>
      </c>
      <c r="I83" s="39">
        <f>SUM(I79:I82)</f>
        <v>0</v>
      </c>
      <c r="M83" s="39"/>
      <c r="N83" s="139"/>
      <c r="X83" s="39">
        <f>X8+X13+X23+X28+X44+X49+X55+X59+X63+X67+X71</f>
        <v>0</v>
      </c>
      <c r="Y83" s="39">
        <f>Y8+Y13+Y23+Y28+Y44+Y49+Y55+Y59+Y63+Y67+Y71</f>
        <v>0</v>
      </c>
    </row>
    <row r="85" spans="3:25" x14ac:dyDescent="0.3">
      <c r="F85" s="39"/>
    </row>
    <row r="86" spans="3:25" x14ac:dyDescent="0.3">
      <c r="F86" s="39"/>
      <c r="I86" s="39"/>
      <c r="N86" s="39"/>
    </row>
  </sheetData>
  <sheetProtection algorithmName="SHA-512" hashValue="fuHV1HuKr9tGPzFpfb6G3LB26PAYDreEnTLwQhYsUhGnZfDnQIq6TNOs/3KrjL6ugVRMxNpKjsU9bFAtzoWTZA==" saltValue="TSnNyeMYttXwp3qaWgpffA==" spinCount="100000" sheet="1" objects="1" scenarios="1"/>
  <mergeCells count="36">
    <mergeCell ref="C75:D75"/>
    <mergeCell ref="C55:D55"/>
    <mergeCell ref="C59:D59"/>
    <mergeCell ref="C63:D63"/>
    <mergeCell ref="C67:D67"/>
    <mergeCell ref="C71:D71"/>
    <mergeCell ref="AA46:AA49"/>
    <mergeCell ref="C5:C8"/>
    <mergeCell ref="C10:C13"/>
    <mergeCell ref="C15:C16"/>
    <mergeCell ref="C20:C23"/>
    <mergeCell ref="C25:C28"/>
    <mergeCell ref="C30:C31"/>
    <mergeCell ref="C35:C37"/>
    <mergeCell ref="C41:C44"/>
    <mergeCell ref="C46:C49"/>
    <mergeCell ref="AA53:AA55"/>
    <mergeCell ref="AA57:AA59"/>
    <mergeCell ref="AA61:AA63"/>
    <mergeCell ref="AA65:AA67"/>
    <mergeCell ref="AA69:AA71"/>
    <mergeCell ref="C2:E2"/>
    <mergeCell ref="AA41:AA44"/>
    <mergeCell ref="M3:W3"/>
    <mergeCell ref="Z10:Z13"/>
    <mergeCell ref="Z15:Z16"/>
    <mergeCell ref="AA10:AA13"/>
    <mergeCell ref="Z5:Z8"/>
    <mergeCell ref="AA5:AA8"/>
    <mergeCell ref="AA15:AA16"/>
    <mergeCell ref="AA20:AA23"/>
    <mergeCell ref="Z25:Z28"/>
    <mergeCell ref="AA25:AA28"/>
    <mergeCell ref="Z30:Z31"/>
    <mergeCell ref="AA30:AA31"/>
    <mergeCell ref="Z20:Z23"/>
  </mergeCells>
  <conditionalFormatting sqref="T16">
    <cfRule type="expression" dxfId="93" priority="25">
      <formula>(T16*-1)&gt;($F$16*0.1)</formula>
    </cfRule>
  </conditionalFormatting>
  <conditionalFormatting sqref="T31">
    <cfRule type="expression" dxfId="92" priority="24">
      <formula>(T31*-1)&gt;($F$16*0.1)</formula>
    </cfRule>
  </conditionalFormatting>
  <conditionalFormatting sqref="C55 G53:H53 G55:H55 N54 P54 R54 T54">
    <cfRule type="expression" dxfId="91" priority="23">
      <formula>$F$55&gt;0</formula>
    </cfRule>
  </conditionalFormatting>
  <conditionalFormatting sqref="C59 G57:H57 G59:H59 N58 P58 R58 T58">
    <cfRule type="expression" dxfId="90" priority="22">
      <formula>$F$59&gt;0</formula>
    </cfRule>
  </conditionalFormatting>
  <conditionalFormatting sqref="C63 G61:H61 G63:H63 N62 P62 R62 T62">
    <cfRule type="expression" dxfId="89" priority="21">
      <formula>$F$63&gt;0</formula>
    </cfRule>
  </conditionalFormatting>
  <conditionalFormatting sqref="G67:H67 G65:H65 C67 N66 P66 R66 T66">
    <cfRule type="expression" dxfId="88" priority="20">
      <formula>$F$67&gt;0</formula>
    </cfRule>
  </conditionalFormatting>
  <conditionalFormatting sqref="C71:C72 G69:H69 G71:H72 N70 P70 R70 T70">
    <cfRule type="expression" dxfId="87" priority="19">
      <formula>$F$71&gt;0</formula>
    </cfRule>
  </conditionalFormatting>
  <conditionalFormatting sqref="N47:N48 P47:P48 R47:R48 T47:T48">
    <cfRule type="expression" dxfId="86" priority="18">
      <formula>$L$47&gt;0</formula>
    </cfRule>
  </conditionalFormatting>
  <conditionalFormatting sqref="I48">
    <cfRule type="expression" dxfId="85" priority="17">
      <formula>$I$47&gt;0</formula>
    </cfRule>
  </conditionalFormatting>
  <conditionalFormatting sqref="P7 R7 T7">
    <cfRule type="expression" dxfId="84" priority="16">
      <formula>$L$7&gt;0</formula>
    </cfRule>
  </conditionalFormatting>
  <conditionalFormatting sqref="N22 P22 T22">
    <cfRule type="expression" dxfId="83" priority="9">
      <formula>$L$22&gt;0</formula>
    </cfRule>
  </conditionalFormatting>
  <conditionalFormatting sqref="N27 P27 R27">
    <cfRule type="expression" dxfId="82" priority="6">
      <formula>$L$27&gt;0</formula>
    </cfRule>
  </conditionalFormatting>
  <conditionalFormatting sqref="N12 R12 T12">
    <cfRule type="expression" dxfId="81" priority="3">
      <formula>$L$12&gt;0</formula>
    </cfRule>
  </conditionalFormatting>
  <conditionalFormatting sqref="C75 G73:H73 G75:H75">
    <cfRule type="expression" dxfId="80" priority="1">
      <formula>$F$73&gt;0</formula>
    </cfRule>
  </conditionalFormatting>
  <dataValidations count="16">
    <dataValidation type="list" allowBlank="1" showInputMessage="1" showErrorMessage="1" sqref="C2:D2" xr:uid="{82A4E39C-5412-4800-9A19-629B6B9266CA}">
      <formula1>E_Code</formula1>
    </dataValidation>
    <dataValidation type="custom" allowBlank="1" showInputMessage="1" showErrorMessage="1" errorTitle="Betrag zu hoch!" error="Es kann in Summe maximal die Vertragssumme eingetragen werden." sqref="G55 G59 G63 G67 G71:G72 G75" xr:uid="{EB1638C1-B60B-40FC-8E1E-2FE318A08575}">
      <formula1>(G55+H55)&lt;=F55</formula1>
    </dataValidation>
    <dataValidation type="custom" allowBlank="1" showInputMessage="1" showErrorMessage="1" errorTitle="Betrag zu hoch!" error="Es kann in Summe maximal die Vertragssumme eingetragen werden." sqref="H55 H59 H63 H67 H71:H72 H75" xr:uid="{7B55B01A-767F-4A86-8037-774B11E7098A}">
      <formula1>(G55+H55)&lt;=F55</formula1>
    </dataValidation>
    <dataValidation type="decimal" allowBlank="1" showInputMessage="1" showErrorMessage="1" errorTitle="Betrag zu hoch!" error="Es kann maximal der oberhalb angezeigte Betrag eingetragen werden." sqref="I43 I48" xr:uid="{49E75B58-7370-444F-8309-0A4B029EFC3D}">
      <formula1>0</formula1>
      <formula2>I42</formula2>
    </dataValidation>
    <dataValidation type="custom" allowBlank="1" showInputMessage="1" showErrorMessage="1" errorTitle="Summe Umschichtungen zu hoch!" error="Es kann maximal der zur Verfügung stehende Betrag umgeschichtet werden." sqref="N12 R12 T12" xr:uid="{4B3AD684-CDE1-46A1-A4A1-1F17BED2C8A9}">
      <formula1>($N$12+$R$12+$T$12)&lt;=$L$12</formula1>
    </dataValidation>
    <dataValidation type="custom" allowBlank="1" showInputMessage="1" showErrorMessage="1" errorTitle="Summe Umschichtungen zu hoch!" error="Es kann maximal der zur Verfügung stehende Betrag umgeschichtet werden." sqref="N22 P22 T22" xr:uid="{F05501E6-EE34-470A-A27D-A4AE16B8E39E}">
      <formula1>($N$22+$P$22+$T$22)&lt;=$L$22</formula1>
    </dataValidation>
    <dataValidation type="custom" allowBlank="1" showInputMessage="1" showErrorMessage="1" errorTitle="Summe Umschichtungen zu hoch!" error="Es kann maximal der zur Verfügung stehende Betrag umgeschichtet werden." sqref="N27 P27 R27" xr:uid="{BE55DD54-C7A7-44CA-A275-0FAC8DF00A9D}">
      <formula1>($N$27+$P$27+$R$27)&lt;=$L$27</formula1>
    </dataValidation>
    <dataValidation type="custom" allowBlank="1" showInputMessage="1" showErrorMessage="1" errorTitle="Summe Umschichtungen zu hoch!" error="Es kann maximal der zur Verfügung stehende Betrag umgeschichtet werden." sqref="N42:N43 P42:P43 R42:R43 T42:T43" xr:uid="{CB016E27-B404-4A21-A704-B0D71D5EE12B}">
      <formula1>($N$42+$P$42+$R$42+$T$42)&lt;=$L$42</formula1>
    </dataValidation>
    <dataValidation type="custom" allowBlank="1" showInputMessage="1" showErrorMessage="1" errorTitle="Summe Umschichtungen zu hoch!" error="Es kann maximal der zur Verfügung stehende Betrag umgeschichtet werden." sqref="N47:N48 T47:T48 R47:R48 P47:P48" xr:uid="{947741DF-4A1D-4CD2-9EFD-00AC3E48E4B7}">
      <formula1>($N$47+$P$47+$R$47+$T$47)&lt;=$L$47</formula1>
    </dataValidation>
    <dataValidation type="custom" allowBlank="1" showInputMessage="1" showErrorMessage="1" errorTitle="Summe Umschichtungen zu hoch!" error="Es kann maximal der zur Verfügung stehende Betrag umgeschichtet werden." sqref="N54 P54 R54 T54" xr:uid="{81CF7AAB-4F6B-475A-85E9-8784B2C6EFE1}">
      <formula1>($N$54+$P$54+$R$54+$T$54)&lt;=$L$54</formula1>
    </dataValidation>
    <dataValidation type="custom" allowBlank="1" showInputMessage="1" showErrorMessage="1" errorTitle="Summe Umschichtungen zu hoch!" error="Es kann maximal der zur Verfügung stehende Betrag umgeschichtet werden." sqref="N58 P58 R58 T58" xr:uid="{A84F90A9-BA71-4B1F-95FF-A77652C1AD77}">
      <formula1>($N$58+$P$58+$R$58+$T$58)&lt;=$L$58</formula1>
    </dataValidation>
    <dataValidation type="custom" allowBlank="1" showInputMessage="1" showErrorMessage="1" errorTitle="Summe Umschichtungen zu hoch!" error="Es kann maximal der zur Verfügung stehende Betrag umgeschichtet werden." sqref="N62 P62 R62 T62" xr:uid="{B55185E7-290D-478D-8923-191AED556F82}">
      <formula1>($N$62+$P$62+$R$62+$T$62)&lt;=$L$62</formula1>
    </dataValidation>
    <dataValidation type="custom" allowBlank="1" showInputMessage="1" showErrorMessage="1" errorTitle="Summe Umschichtungen zu hoch!" error="Es kann maximal der zur Verfügung stehende Betrag umgeschichtet werden." sqref="N66 P66 R66 T66" xr:uid="{F6FCCE14-D31F-4F5F-9E45-5FDEE2E1790E}">
      <formula1>($N$66+$P$66+$R$66+$T$66)&lt;=$L$66</formula1>
    </dataValidation>
    <dataValidation type="custom" allowBlank="1" showInputMessage="1" showErrorMessage="1" errorTitle="Summe Umschichtungen zu hoch!" error="Es kann maximal der zur Verfügung stehende Betrag umgeschichtet werden." sqref="N70 P70 R70 T70" xr:uid="{080F4672-1DE0-483B-844D-82AFA9F00594}">
      <formula1>($N$70+$P$70+$R$70+$T$70)&lt;=$L$70</formula1>
    </dataValidation>
    <dataValidation type="custom" allowBlank="1" showInputMessage="1" showErrorMessage="1" errorTitle="Summe Umschichtungen zu hoch!" error="Es kann maximal der zur Verfügung stehende Betrag umgeschichtet werden." sqref="P7 R7 T7" xr:uid="{239FFD9F-9256-4FEB-B1EB-05C7B818F10C}">
      <formula1>($P$7+$R$7+$T$7)&lt;=$L$7</formula1>
    </dataValidation>
    <dataValidation type="decimal" allowBlank="1" showInputMessage="1" showErrorMessage="1" errorTitle="Betrag zu hoch!" error="Es kann maximal der oberhalb angezeigte Betrag eingetragen werden." sqref="J44 J49" xr:uid="{55415D3B-10D5-41B7-B234-78B4F74D8DE0}">
      <formula1>0</formula1>
      <formula2>J42</formula2>
    </dataValidation>
  </dataValidations>
  <pageMargins left="0.39370078740157483" right="0.31496062992125984" top="0.39370078740157483" bottom="0.51181102362204722" header="0.31496062992125984" footer="0.31496062992125984"/>
  <pageSetup paperSize="9" scale="82" orientation="portrait" r:id="rId1"/>
  <headerFooter>
    <oddFooter>&amp;L&amp;"Calibri,Standard"&amp;9Ben_InRe2a-KA131_Call2021-_v2022-08-01_frei&amp;R&amp;"Calibri,Standard"&amp;9gedruckt am: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FBF9D-5DD1-4BE8-840B-C0957C56FF7E}">
  <sheetPr>
    <pageSetUpPr fitToPage="1"/>
  </sheetPr>
  <dimension ref="A1:M77"/>
  <sheetViews>
    <sheetView showGridLines="0" workbookViewId="0">
      <selection activeCell="I8" sqref="I8:J8"/>
    </sheetView>
  </sheetViews>
  <sheetFormatPr baseColWidth="10" defaultColWidth="12" defaultRowHeight="13.8" x14ac:dyDescent="0.3"/>
  <cols>
    <col min="1" max="1" width="3.6640625" style="2" customWidth="1"/>
    <col min="2" max="2" width="17.5546875" style="2" customWidth="1"/>
    <col min="3" max="3" width="12.44140625" style="2" customWidth="1"/>
    <col min="4" max="4" width="6.88671875" style="2" customWidth="1"/>
    <col min="5" max="5" width="13.44140625" style="2" customWidth="1"/>
    <col min="6" max="6" width="14.44140625" style="2" customWidth="1"/>
    <col min="7" max="8" width="2.88671875" style="2" customWidth="1"/>
    <col min="9" max="9" width="2" style="2" customWidth="1"/>
    <col min="10" max="10" width="12" style="2"/>
    <col min="11" max="11" width="6.44140625" style="2" customWidth="1"/>
    <col min="12" max="12" width="12" style="2"/>
    <col min="13" max="13" width="10.109375" style="2" customWidth="1"/>
    <col min="14" max="16384" width="12" style="2"/>
  </cols>
  <sheetData>
    <row r="1" spans="1:13" ht="66.75" customHeight="1" x14ac:dyDescent="0.3">
      <c r="L1" s="273"/>
    </row>
    <row r="2" spans="1:13" ht="34.5" customHeight="1" x14ac:dyDescent="0.3">
      <c r="A2" s="3"/>
      <c r="B2" s="384" t="s">
        <v>763</v>
      </c>
      <c r="C2" s="385"/>
      <c r="D2" s="385"/>
      <c r="E2" s="385"/>
      <c r="F2" s="385"/>
      <c r="G2" s="385"/>
      <c r="H2" s="385"/>
      <c r="I2" s="385"/>
      <c r="J2" s="385"/>
      <c r="K2" s="385"/>
      <c r="L2" s="386"/>
      <c r="M2" s="119"/>
    </row>
    <row r="3" spans="1:13" ht="9.75" customHeight="1" x14ac:dyDescent="0.3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285" t="str">
        <f>Erklärung!J6</f>
        <v>2.1.1</v>
      </c>
      <c r="M3" s="6"/>
    </row>
    <row r="4" spans="1:13" s="182" customFormat="1" ht="15" customHeight="1" x14ac:dyDescent="0.25">
      <c r="A4" s="194"/>
      <c r="B4" s="387" t="s">
        <v>764</v>
      </c>
      <c r="C4" s="387"/>
      <c r="D4" s="387"/>
      <c r="E4" s="387"/>
      <c r="F4" s="388" t="str">
        <f>Dateneingabe!C2&amp;" / "&amp;VLOOKUP(Dateneingabe!C2,'Daten 2021'!$A$2:$BZ$78,3,0)</f>
        <v>&lt;-- Bitte Erasmus Code auswählen --&gt; / &lt;-- OID --&gt;</v>
      </c>
      <c r="G4" s="388"/>
      <c r="H4" s="388"/>
      <c r="I4" s="388"/>
      <c r="J4" s="388"/>
      <c r="K4" s="388"/>
      <c r="L4" s="388"/>
      <c r="M4" s="195"/>
    </row>
    <row r="5" spans="1:13" s="182" customFormat="1" ht="33.75" customHeight="1" x14ac:dyDescent="0.25">
      <c r="A5" s="194"/>
      <c r="B5" s="387" t="s">
        <v>0</v>
      </c>
      <c r="C5" s="387"/>
      <c r="D5" s="387"/>
      <c r="E5" s="387"/>
      <c r="F5" s="389" t="str">
        <f>IFERROR(VLOOKUP(Dateneingabe!C2,'Daten 2021'!$A$2:$BZ$78,2,0),"")</f>
        <v>---</v>
      </c>
      <c r="G5" s="389"/>
      <c r="H5" s="389"/>
      <c r="I5" s="389"/>
      <c r="J5" s="389"/>
      <c r="K5" s="389"/>
      <c r="L5" s="389"/>
      <c r="M5" s="196"/>
    </row>
    <row r="6" spans="1:13" s="182" customFormat="1" ht="15" customHeight="1" x14ac:dyDescent="0.25">
      <c r="A6" s="194"/>
      <c r="B6" s="259" t="s">
        <v>762</v>
      </c>
      <c r="C6" s="259"/>
      <c r="D6" s="259"/>
      <c r="E6" s="259"/>
      <c r="F6" s="383" t="str">
        <f>VLOOKUP(Dateneingabe!C2,'Daten 2021'!$A$2:$BZ$78,4,0)&amp;" / "&amp;VLOOKUP(Dateneingabe!C2,'Daten 2021'!$A$2:$BZ$78,5,0)</f>
        <v xml:space="preserve"> / </v>
      </c>
      <c r="G6" s="383"/>
      <c r="H6" s="383"/>
      <c r="I6" s="383"/>
      <c r="J6" s="383"/>
      <c r="K6" s="383"/>
      <c r="L6" s="383"/>
      <c r="M6" s="197"/>
    </row>
    <row r="7" spans="1:13" ht="6" customHeight="1" x14ac:dyDescent="0.3">
      <c r="A7" s="3"/>
      <c r="B7" s="268"/>
      <c r="C7" s="268"/>
      <c r="D7" s="268"/>
      <c r="E7" s="268"/>
      <c r="F7" s="7"/>
      <c r="G7" s="7"/>
      <c r="H7" s="7"/>
      <c r="I7" s="7"/>
      <c r="J7" s="7"/>
      <c r="K7" s="7"/>
      <c r="L7" s="7"/>
      <c r="M7" s="7"/>
    </row>
    <row r="8" spans="1:13" s="206" customFormat="1" ht="14.4" x14ac:dyDescent="0.3">
      <c r="A8" s="200"/>
      <c r="B8" s="201" t="s">
        <v>543</v>
      </c>
      <c r="C8" s="275"/>
      <c r="D8" s="275"/>
      <c r="E8" s="275"/>
      <c r="F8" s="275"/>
      <c r="G8" s="267"/>
      <c r="H8" s="267" t="s">
        <v>758</v>
      </c>
      <c r="I8" s="390"/>
      <c r="J8" s="390"/>
      <c r="K8" s="203" t="s">
        <v>756</v>
      </c>
      <c r="L8" s="274"/>
      <c r="M8" s="205"/>
    </row>
    <row r="9" spans="1:13" ht="6.75" customHeight="1" thickBot="1" x14ac:dyDescent="0.35">
      <c r="A9" s="4"/>
      <c r="B9" s="36"/>
      <c r="C9" s="59"/>
      <c r="D9" s="59"/>
      <c r="E9" s="6"/>
      <c r="F9" s="60"/>
      <c r="G9" s="60"/>
      <c r="H9" s="60"/>
      <c r="I9" s="60"/>
      <c r="J9" s="60"/>
      <c r="K9" s="60"/>
      <c r="L9" s="6"/>
      <c r="M9" s="6"/>
    </row>
    <row r="10" spans="1:13" s="182" customFormat="1" ht="14.25" customHeight="1" x14ac:dyDescent="0.25">
      <c r="A10" s="198"/>
      <c r="C10" s="207"/>
      <c r="D10" s="208"/>
      <c r="E10" s="391" t="s">
        <v>545</v>
      </c>
      <c r="F10" s="391"/>
      <c r="G10" s="263"/>
      <c r="H10" s="263"/>
      <c r="I10" s="209"/>
      <c r="J10" s="391" t="s">
        <v>544</v>
      </c>
      <c r="K10" s="391"/>
      <c r="L10" s="392"/>
      <c r="M10" s="210"/>
    </row>
    <row r="11" spans="1:13" s="182" customFormat="1" ht="14.25" customHeight="1" x14ac:dyDescent="0.25">
      <c r="A11" s="194"/>
      <c r="C11" s="211"/>
      <c r="D11" s="259"/>
      <c r="E11" s="212" t="s">
        <v>508</v>
      </c>
      <c r="F11" s="212" t="s">
        <v>110</v>
      </c>
      <c r="G11" s="212"/>
      <c r="I11" s="213"/>
      <c r="J11" s="258" t="s">
        <v>508</v>
      </c>
      <c r="K11" s="346" t="s">
        <v>812</v>
      </c>
      <c r="L11" s="214" t="s">
        <v>110</v>
      </c>
    </row>
    <row r="12" spans="1:13" s="215" customFormat="1" ht="14.25" customHeight="1" x14ac:dyDescent="0.25">
      <c r="A12" s="194"/>
      <c r="C12" s="216" t="s">
        <v>507</v>
      </c>
      <c r="D12" s="217"/>
      <c r="E12" s="218">
        <f>Dateneingabe!F5</f>
        <v>0</v>
      </c>
      <c r="F12" s="219">
        <f>Dateneingabe!F8</f>
        <v>0</v>
      </c>
      <c r="G12" s="220"/>
      <c r="I12" s="221"/>
      <c r="J12" s="218">
        <f>Dateneingabe!I5</f>
        <v>0</v>
      </c>
      <c r="K12" s="222">
        <f>Dateneingabe!G6+Dateneingabe!H6+Dateneingabe!G7+Dateneingabe!H7</f>
        <v>0</v>
      </c>
      <c r="L12" s="223">
        <f>Dateneingabe!I8</f>
        <v>0</v>
      </c>
    </row>
    <row r="13" spans="1:13" s="215" customFormat="1" ht="14.25" customHeight="1" x14ac:dyDescent="0.25">
      <c r="A13" s="194"/>
      <c r="C13" s="216" t="s">
        <v>509</v>
      </c>
      <c r="D13" s="217"/>
      <c r="E13" s="218">
        <f>Dateneingabe!F10</f>
        <v>0</v>
      </c>
      <c r="F13" s="219">
        <f>Dateneingabe!F13</f>
        <v>0</v>
      </c>
      <c r="G13" s="220"/>
      <c r="I13" s="221"/>
      <c r="J13" s="218">
        <f>Dateneingabe!I10</f>
        <v>0</v>
      </c>
      <c r="K13" s="222">
        <f>Dateneingabe!G11+Dateneingabe!H11+Dateneingabe!G12+Dateneingabe!H12</f>
        <v>0</v>
      </c>
      <c r="L13" s="223">
        <f>Dateneingabe!I13</f>
        <v>0</v>
      </c>
    </row>
    <row r="14" spans="1:13" s="215" customFormat="1" ht="14.25" customHeight="1" x14ac:dyDescent="0.25">
      <c r="A14" s="194"/>
      <c r="C14" s="216" t="s">
        <v>2</v>
      </c>
      <c r="D14" s="217"/>
      <c r="E14" s="218">
        <f>Dateneingabe!F20</f>
        <v>0</v>
      </c>
      <c r="F14" s="219">
        <f>Dateneingabe!F23</f>
        <v>0</v>
      </c>
      <c r="G14" s="220"/>
      <c r="I14" s="221"/>
      <c r="J14" s="218">
        <f>Dateneingabe!I20</f>
        <v>0</v>
      </c>
      <c r="K14" s="222">
        <f>Dateneingabe!G21+Dateneingabe!H21+Dateneingabe!G22+Dateneingabe!H22</f>
        <v>0</v>
      </c>
      <c r="L14" s="223">
        <f>Dateneingabe!I23</f>
        <v>0</v>
      </c>
    </row>
    <row r="15" spans="1:13" s="215" customFormat="1" ht="14.25" customHeight="1" x14ac:dyDescent="0.25">
      <c r="A15" s="194"/>
      <c r="C15" s="216" t="s">
        <v>3</v>
      </c>
      <c r="D15" s="217"/>
      <c r="E15" s="218">
        <f>Dateneingabe!F25</f>
        <v>0</v>
      </c>
      <c r="F15" s="219">
        <f>Dateneingabe!F28</f>
        <v>0</v>
      </c>
      <c r="G15" s="220"/>
      <c r="I15" s="221"/>
      <c r="J15" s="218">
        <f>Dateneingabe!I25</f>
        <v>0</v>
      </c>
      <c r="K15" s="222">
        <f>Dateneingabe!G26+Dateneingabe!H26+Dateneingabe!G27+Dateneingabe!H27</f>
        <v>0</v>
      </c>
      <c r="L15" s="223">
        <f>Dateneingabe!I28</f>
        <v>0</v>
      </c>
    </row>
    <row r="16" spans="1:13" s="215" customFormat="1" ht="7.5" customHeight="1" x14ac:dyDescent="0.25">
      <c r="A16" s="194"/>
      <c r="C16" s="211"/>
      <c r="D16" s="259"/>
      <c r="E16" s="224"/>
      <c r="F16" s="224"/>
      <c r="G16" s="224"/>
      <c r="I16" s="225"/>
      <c r="J16" s="226"/>
      <c r="K16" s="226"/>
      <c r="L16" s="227"/>
    </row>
    <row r="17" spans="1:13" s="215" customFormat="1" ht="15" customHeight="1" x14ac:dyDescent="0.25">
      <c r="A17" s="194"/>
      <c r="C17" s="216" t="s">
        <v>547</v>
      </c>
      <c r="D17" s="217"/>
      <c r="E17" s="218">
        <f>Dateneingabe!F35</f>
        <v>0</v>
      </c>
      <c r="F17" s="219">
        <f>Dateneingabe!F36</f>
        <v>0</v>
      </c>
      <c r="G17" s="220"/>
      <c r="I17" s="221"/>
      <c r="J17" s="218">
        <f>Dateneingabe!I35</f>
        <v>0</v>
      </c>
      <c r="K17" s="347"/>
      <c r="L17" s="223">
        <f>Dateneingabe!I36</f>
        <v>0</v>
      </c>
    </row>
    <row r="18" spans="1:13" s="215" customFormat="1" ht="7.5" customHeight="1" x14ac:dyDescent="0.25">
      <c r="A18" s="194"/>
      <c r="C18" s="211"/>
      <c r="D18" s="259"/>
      <c r="E18" s="224"/>
      <c r="F18" s="224"/>
      <c r="G18" s="224"/>
      <c r="I18" s="225"/>
      <c r="J18" s="226"/>
      <c r="K18" s="226"/>
      <c r="L18" s="227"/>
    </row>
    <row r="19" spans="1:13" s="215" customFormat="1" ht="15" customHeight="1" x14ac:dyDescent="0.25">
      <c r="A19" s="194"/>
      <c r="C19" s="216" t="s">
        <v>517</v>
      </c>
      <c r="D19" s="217"/>
      <c r="E19" s="218">
        <f>Dateneingabe!F41</f>
        <v>0</v>
      </c>
      <c r="F19" s="219">
        <f>Dateneingabe!F42</f>
        <v>0</v>
      </c>
      <c r="G19" s="220"/>
      <c r="I19" s="221"/>
      <c r="J19" s="218">
        <f>Dateneingabe!I41</f>
        <v>0</v>
      </c>
      <c r="K19" s="347"/>
      <c r="L19" s="223">
        <f>Dateneingabe!I44</f>
        <v>0</v>
      </c>
    </row>
    <row r="20" spans="1:13" s="215" customFormat="1" ht="15" customHeight="1" x14ac:dyDescent="0.25">
      <c r="A20" s="194"/>
      <c r="C20" s="216" t="s">
        <v>546</v>
      </c>
      <c r="D20" s="217"/>
      <c r="E20" s="218">
        <f>Dateneingabe!F46</f>
        <v>0</v>
      </c>
      <c r="F20" s="219">
        <f>Dateneingabe!F47</f>
        <v>0</v>
      </c>
      <c r="G20" s="220"/>
      <c r="I20" s="221"/>
      <c r="J20" s="218">
        <f>Dateneingabe!I46</f>
        <v>0</v>
      </c>
      <c r="K20" s="347"/>
      <c r="L20" s="223">
        <f>Dateneingabe!I48</f>
        <v>0</v>
      </c>
    </row>
    <row r="21" spans="1:13" s="215" customFormat="1" ht="7.5" customHeight="1" x14ac:dyDescent="0.25">
      <c r="A21" s="194"/>
      <c r="C21" s="211"/>
      <c r="D21" s="259"/>
      <c r="E21" s="224"/>
      <c r="F21" s="228"/>
      <c r="G21" s="228"/>
      <c r="I21" s="225"/>
      <c r="J21" s="224"/>
      <c r="K21" s="229"/>
      <c r="L21" s="230"/>
    </row>
    <row r="22" spans="1:13" s="215" customFormat="1" ht="15" customHeight="1" x14ac:dyDescent="0.25">
      <c r="A22" s="194"/>
      <c r="C22" s="216" t="s">
        <v>510</v>
      </c>
      <c r="D22" s="217"/>
      <c r="E22" s="218">
        <f>Dateneingabe!F53</f>
        <v>0</v>
      </c>
      <c r="F22" s="219">
        <f>Dateneingabe!F55</f>
        <v>0</v>
      </c>
      <c r="G22" s="220"/>
      <c r="I22" s="221"/>
      <c r="J22" s="218">
        <f>Dateneingabe!I53</f>
        <v>0</v>
      </c>
      <c r="K22" s="347"/>
      <c r="L22" s="223">
        <f>Dateneingabe!I55</f>
        <v>0</v>
      </c>
    </row>
    <row r="23" spans="1:13" s="215" customFormat="1" ht="15" customHeight="1" x14ac:dyDescent="0.25">
      <c r="A23" s="194"/>
      <c r="C23" s="216" t="s">
        <v>511</v>
      </c>
      <c r="D23" s="217"/>
      <c r="E23" s="218">
        <f>Dateneingabe!F57</f>
        <v>0</v>
      </c>
      <c r="F23" s="219">
        <f>Dateneingabe!F59</f>
        <v>0</v>
      </c>
      <c r="G23" s="220"/>
      <c r="I23" s="221"/>
      <c r="J23" s="218">
        <f>Dateneingabe!I57</f>
        <v>0</v>
      </c>
      <c r="K23" s="347"/>
      <c r="L23" s="223">
        <f>Dateneingabe!I59</f>
        <v>0</v>
      </c>
    </row>
    <row r="24" spans="1:13" s="215" customFormat="1" ht="15" customHeight="1" x14ac:dyDescent="0.25">
      <c r="A24" s="194"/>
      <c r="C24" s="216" t="s">
        <v>512</v>
      </c>
      <c r="D24" s="217"/>
      <c r="E24" s="218">
        <f>Dateneingabe!F61</f>
        <v>0</v>
      </c>
      <c r="F24" s="219">
        <f>Dateneingabe!F63</f>
        <v>0</v>
      </c>
      <c r="G24" s="220"/>
      <c r="I24" s="221"/>
      <c r="J24" s="218">
        <f>Dateneingabe!I61</f>
        <v>0</v>
      </c>
      <c r="K24" s="347"/>
      <c r="L24" s="223">
        <f>Dateneingabe!I63</f>
        <v>0</v>
      </c>
    </row>
    <row r="25" spans="1:13" s="215" customFormat="1" ht="15" customHeight="1" x14ac:dyDescent="0.25">
      <c r="A25" s="194"/>
      <c r="C25" s="216" t="s">
        <v>513</v>
      </c>
      <c r="D25" s="217"/>
      <c r="E25" s="218">
        <f>Dateneingabe!F65</f>
        <v>0</v>
      </c>
      <c r="F25" s="219">
        <f>Dateneingabe!F67</f>
        <v>0</v>
      </c>
      <c r="G25" s="220"/>
      <c r="I25" s="221"/>
      <c r="J25" s="218">
        <f>Dateneingabe!I65</f>
        <v>0</v>
      </c>
      <c r="K25" s="347"/>
      <c r="L25" s="223">
        <f>Dateneingabe!I67</f>
        <v>0</v>
      </c>
    </row>
    <row r="26" spans="1:13" s="215" customFormat="1" ht="15" customHeight="1" x14ac:dyDescent="0.25">
      <c r="A26" s="194"/>
      <c r="C26" s="216" t="s">
        <v>514</v>
      </c>
      <c r="D26" s="217"/>
      <c r="E26" s="218">
        <f>Dateneingabe!F71</f>
        <v>0</v>
      </c>
      <c r="F26" s="219">
        <f>Dateneingabe!F71</f>
        <v>0</v>
      </c>
      <c r="G26" s="220"/>
      <c r="I26" s="221"/>
      <c r="J26" s="218">
        <f>Dateneingabe!I69</f>
        <v>0</v>
      </c>
      <c r="K26" s="347"/>
      <c r="L26" s="223">
        <f>Dateneingabe!I71</f>
        <v>0</v>
      </c>
    </row>
    <row r="27" spans="1:13" s="215" customFormat="1" ht="15" customHeight="1" x14ac:dyDescent="0.25">
      <c r="A27" s="194"/>
      <c r="C27" s="216" t="s">
        <v>811</v>
      </c>
      <c r="D27" s="217"/>
      <c r="E27" s="218">
        <f>Dateneingabe!F73</f>
        <v>0</v>
      </c>
      <c r="F27" s="219">
        <f>Dateneingabe!F75</f>
        <v>0</v>
      </c>
      <c r="G27" s="220"/>
      <c r="I27" s="221"/>
      <c r="J27" s="218">
        <f>Dateneingabe!I73</f>
        <v>0</v>
      </c>
      <c r="K27" s="347"/>
      <c r="L27" s="223">
        <f>Dateneingabe!I75</f>
        <v>0</v>
      </c>
    </row>
    <row r="28" spans="1:13" s="215" customFormat="1" ht="7.5" customHeight="1" thickBot="1" x14ac:dyDescent="0.3">
      <c r="A28" s="194"/>
      <c r="C28" s="211"/>
      <c r="D28" s="259"/>
      <c r="E28" s="231"/>
      <c r="F28" s="231"/>
      <c r="G28" s="231"/>
      <c r="H28" s="231"/>
      <c r="I28" s="225"/>
      <c r="J28" s="232"/>
      <c r="K28" s="232"/>
      <c r="L28" s="233"/>
      <c r="M28" s="232"/>
    </row>
    <row r="29" spans="1:13" s="215" customFormat="1" ht="15" customHeight="1" thickBot="1" x14ac:dyDescent="0.3">
      <c r="A29" s="194"/>
      <c r="C29" s="234" t="s">
        <v>111</v>
      </c>
      <c r="D29" s="235"/>
      <c r="E29" s="236"/>
      <c r="F29" s="237">
        <f>SUM(F12:F27)</f>
        <v>0</v>
      </c>
      <c r="G29" s="238"/>
      <c r="H29" s="239"/>
      <c r="I29" s="240"/>
      <c r="J29" s="241"/>
      <c r="K29" s="242"/>
      <c r="L29" s="237">
        <f>SUM(L12:L27)</f>
        <v>0</v>
      </c>
      <c r="M29" s="228"/>
    </row>
    <row r="30" spans="1:13" s="215" customFormat="1" ht="6" customHeight="1" x14ac:dyDescent="0.25">
      <c r="A30" s="194"/>
      <c r="C30" s="259"/>
      <c r="D30" s="259"/>
      <c r="E30" s="231"/>
      <c r="F30" s="228"/>
      <c r="G30" s="228"/>
      <c r="H30" s="228"/>
      <c r="I30" s="225"/>
      <c r="J30" s="243"/>
      <c r="K30" s="243"/>
      <c r="L30" s="228"/>
      <c r="M30" s="228"/>
    </row>
    <row r="31" spans="1:13" s="215" customFormat="1" ht="6" customHeight="1" x14ac:dyDescent="0.25">
      <c r="A31" s="194"/>
      <c r="B31" s="259"/>
      <c r="C31" s="231"/>
      <c r="D31" s="231"/>
      <c r="E31" s="231"/>
      <c r="F31" s="231"/>
      <c r="G31" s="231"/>
      <c r="H31" s="231"/>
      <c r="I31" s="244"/>
      <c r="J31" s="244"/>
      <c r="K31" s="244"/>
      <c r="L31" s="245"/>
      <c r="M31" s="245"/>
    </row>
    <row r="32" spans="1:13" s="206" customFormat="1" ht="14.4" x14ac:dyDescent="0.3">
      <c r="A32" s="200"/>
      <c r="B32" s="203" t="s">
        <v>757</v>
      </c>
      <c r="C32" s="202"/>
      <c r="D32" s="202"/>
      <c r="E32" s="393" t="s">
        <v>755</v>
      </c>
      <c r="F32" s="393"/>
      <c r="G32" s="393"/>
      <c r="H32" s="393"/>
      <c r="I32" s="390"/>
      <c r="J32" s="390"/>
      <c r="K32" s="203" t="s">
        <v>756</v>
      </c>
      <c r="L32" s="204"/>
      <c r="M32" s="205"/>
    </row>
    <row r="33" spans="1:13" s="225" customFormat="1" ht="6.75" customHeight="1" x14ac:dyDescent="0.25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</row>
    <row r="34" spans="1:13" s="225" customFormat="1" ht="15" customHeight="1" x14ac:dyDescent="0.25">
      <c r="A34" s="246"/>
      <c r="C34" s="247" t="s">
        <v>556</v>
      </c>
      <c r="D34" s="248"/>
      <c r="E34" s="248"/>
      <c r="F34" s="199"/>
      <c r="G34" s="249"/>
      <c r="H34" s="249"/>
      <c r="I34" s="249"/>
      <c r="J34" s="199"/>
      <c r="K34" s="246"/>
      <c r="L34" s="250">
        <f>VLOOKUP(Dateneingabe!C2,'Daten 2021'!$A$2:$BZ$78,41,0)</f>
        <v>0</v>
      </c>
      <c r="M34" s="246"/>
    </row>
    <row r="35" spans="1:13" s="225" customFormat="1" ht="15" customHeight="1" x14ac:dyDescent="0.25">
      <c r="A35" s="246"/>
      <c r="C35" s="251" t="s">
        <v>563</v>
      </c>
      <c r="D35" s="248"/>
      <c r="E35" s="248"/>
      <c r="F35" s="199"/>
      <c r="G35" s="247" t="s">
        <v>558</v>
      </c>
      <c r="H35" s="249"/>
      <c r="I35" s="249"/>
      <c r="J35" s="199"/>
      <c r="K35" s="229" t="s">
        <v>760</v>
      </c>
      <c r="L35" s="250">
        <f>VLOOKUP(Dateneingabe!$C$2,'Daten 2021'!$A$2:$BZ$78,48,0)</f>
        <v>0</v>
      </c>
      <c r="M35" s="246"/>
    </row>
    <row r="36" spans="1:13" s="225" customFormat="1" ht="15" customHeight="1" x14ac:dyDescent="0.25">
      <c r="A36" s="246"/>
      <c r="C36" s="251"/>
      <c r="D36" s="248"/>
      <c r="E36" s="248"/>
      <c r="F36" s="199"/>
      <c r="G36" s="247" t="s">
        <v>759</v>
      </c>
      <c r="H36" s="249"/>
      <c r="I36" s="249"/>
      <c r="J36" s="199"/>
      <c r="K36" s="413"/>
      <c r="L36" s="250">
        <f>IF(K36="X",VLOOKUP(Dateneingabe!$C$2,'Daten 2021'!$A$2:$BZ$78,50,0),0)</f>
        <v>0</v>
      </c>
      <c r="M36" s="246"/>
    </row>
    <row r="37" spans="1:13" s="225" customFormat="1" ht="15" customHeight="1" x14ac:dyDescent="0.25">
      <c r="A37" s="246"/>
      <c r="C37" s="251"/>
      <c r="D37" s="248"/>
      <c r="E37" s="248"/>
      <c r="F37" s="199"/>
      <c r="G37" s="247" t="s">
        <v>773</v>
      </c>
      <c r="H37" s="249"/>
      <c r="I37" s="249"/>
      <c r="J37" s="199"/>
      <c r="K37" s="413"/>
      <c r="L37" s="250">
        <f>IF(K37="X",VLOOKUP(Dateneingabe!$C$2,'Daten 2021'!$A$2:$BZ$78,52,0),0)</f>
        <v>0</v>
      </c>
      <c r="M37" s="246"/>
    </row>
    <row r="38" spans="1:13" s="225" customFormat="1" ht="15" customHeight="1" x14ac:dyDescent="0.25">
      <c r="A38" s="246"/>
      <c r="C38" s="251"/>
      <c r="D38" s="248"/>
      <c r="E38" s="248"/>
      <c r="F38" s="199"/>
      <c r="G38" s="247" t="s">
        <v>800</v>
      </c>
      <c r="H38" s="249"/>
      <c r="I38" s="249"/>
      <c r="J38" s="199"/>
      <c r="K38" s="413"/>
      <c r="L38" s="250">
        <f>IF(K38="X",VLOOKUP(Dateneingabe!$C$2,'Daten 2021'!$A$2:$BZ$78,54,0),0)</f>
        <v>0</v>
      </c>
      <c r="M38" s="246"/>
    </row>
    <row r="39" spans="1:13" s="225" customFormat="1" ht="15" customHeight="1" x14ac:dyDescent="0.25">
      <c r="A39" s="246"/>
      <c r="C39" s="251"/>
      <c r="D39" s="248"/>
      <c r="E39" s="248"/>
      <c r="F39" s="199"/>
      <c r="G39" s="247" t="s">
        <v>801</v>
      </c>
      <c r="H39" s="249"/>
      <c r="I39" s="249"/>
      <c r="J39" s="199"/>
      <c r="K39" s="413"/>
      <c r="L39" s="250">
        <f>IF(K39="X",VLOOKUP(Dateneingabe!$C$2,'Daten 2021'!$A$2:$BZ$78,56,0),0)</f>
        <v>0</v>
      </c>
      <c r="M39" s="246"/>
    </row>
    <row r="40" spans="1:13" s="225" customFormat="1" ht="15" customHeight="1" x14ac:dyDescent="0.25">
      <c r="A40" s="246"/>
      <c r="C40" s="251"/>
      <c r="D40" s="248"/>
      <c r="E40" s="248"/>
      <c r="F40" s="199"/>
      <c r="G40" s="247" t="s">
        <v>813</v>
      </c>
      <c r="H40" s="249"/>
      <c r="I40" s="249"/>
      <c r="J40" s="199"/>
      <c r="K40" s="413"/>
      <c r="L40" s="250">
        <f>IF(K40="X",VLOOKUP(Dateneingabe!$C$2,'Daten 2021'!$A$2:$BZ$78,58,0),0)</f>
        <v>0</v>
      </c>
      <c r="M40" s="246"/>
    </row>
    <row r="41" spans="1:13" s="225" customFormat="1" ht="15" customHeight="1" x14ac:dyDescent="0.25">
      <c r="A41" s="246"/>
      <c r="B41" s="246"/>
      <c r="C41" s="246"/>
      <c r="D41" s="246"/>
      <c r="E41" s="246"/>
      <c r="F41" s="246"/>
      <c r="G41" s="246" t="s">
        <v>774</v>
      </c>
      <c r="H41" s="246"/>
      <c r="I41" s="246"/>
      <c r="J41" s="246"/>
      <c r="K41" s="414">
        <f>COUNTIF(K35:K40,"X")</f>
        <v>1</v>
      </c>
      <c r="L41" s="288">
        <f>SUM(L35:L40)</f>
        <v>0</v>
      </c>
      <c r="M41" s="246"/>
    </row>
    <row r="42" spans="1:13" s="225" customFormat="1" ht="6" customHeight="1" x14ac:dyDescent="0.25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</row>
    <row r="43" spans="1:13" s="225" customFormat="1" ht="15" customHeight="1" x14ac:dyDescent="0.25">
      <c r="A43" s="246"/>
      <c r="B43" s="246"/>
      <c r="C43" s="251" t="s">
        <v>754</v>
      </c>
      <c r="D43" s="248"/>
      <c r="E43" s="248"/>
      <c r="F43" s="199"/>
      <c r="G43" s="249"/>
      <c r="H43" s="249"/>
      <c r="I43" s="249"/>
      <c r="J43" s="199"/>
      <c r="K43" s="246"/>
      <c r="L43" s="246"/>
      <c r="M43" s="246"/>
    </row>
    <row r="44" spans="1:13" s="225" customFormat="1" ht="6" customHeight="1" thickBot="1" x14ac:dyDescent="0.3">
      <c r="A44" s="246"/>
      <c r="B44" s="246"/>
      <c r="C44" s="251"/>
      <c r="D44" s="248"/>
      <c r="E44" s="248"/>
      <c r="F44" s="199"/>
      <c r="G44" s="249"/>
      <c r="H44" s="249"/>
      <c r="I44" s="249"/>
      <c r="J44" s="199"/>
      <c r="K44" s="246"/>
      <c r="L44" s="246"/>
      <c r="M44" s="246"/>
    </row>
    <row r="45" spans="1:13" s="225" customFormat="1" ht="15" customHeight="1" thickBot="1" x14ac:dyDescent="0.3">
      <c r="A45" s="246"/>
      <c r="B45" s="246"/>
      <c r="C45" s="252"/>
      <c r="D45" s="247" t="s">
        <v>557</v>
      </c>
      <c r="E45" s="247"/>
      <c r="F45" s="247"/>
      <c r="G45" s="247"/>
      <c r="H45" s="252"/>
      <c r="I45" s="247"/>
      <c r="K45" s="246"/>
      <c r="L45" s="253">
        <v>0</v>
      </c>
      <c r="M45" s="246"/>
    </row>
    <row r="46" spans="1:13" s="225" customFormat="1" ht="15" customHeight="1" thickBot="1" x14ac:dyDescent="0.3">
      <c r="A46" s="246"/>
      <c r="B46" s="246"/>
      <c r="C46" s="254"/>
      <c r="D46" s="247" t="s">
        <v>753</v>
      </c>
      <c r="E46" s="231"/>
      <c r="F46" s="224"/>
      <c r="G46" s="228"/>
      <c r="H46" s="254"/>
      <c r="I46" s="224"/>
      <c r="K46" s="246"/>
      <c r="L46" s="253">
        <v>0</v>
      </c>
      <c r="M46" s="246"/>
    </row>
    <row r="47" spans="1:13" s="225" customFormat="1" ht="15" customHeight="1" thickBot="1" x14ac:dyDescent="0.3">
      <c r="A47" s="246"/>
      <c r="B47" s="246"/>
      <c r="C47" s="254"/>
      <c r="D47" s="247" t="s">
        <v>564</v>
      </c>
      <c r="E47" s="231"/>
      <c r="F47" s="224"/>
      <c r="G47" s="228"/>
      <c r="H47" s="254"/>
      <c r="I47" s="224"/>
      <c r="K47" s="246"/>
      <c r="L47" s="253">
        <v>0</v>
      </c>
      <c r="M47" s="246"/>
    </row>
    <row r="48" spans="1:13" s="225" customFormat="1" ht="15" customHeight="1" x14ac:dyDescent="0.25">
      <c r="A48" s="246"/>
      <c r="B48" s="246"/>
      <c r="C48" s="254"/>
      <c r="D48" s="231"/>
      <c r="E48" s="231"/>
      <c r="F48" s="224"/>
      <c r="G48" s="228"/>
      <c r="H48" s="254"/>
      <c r="I48" s="224"/>
      <c r="K48" s="246"/>
      <c r="L48" s="228">
        <f>SUM(L45:L47)</f>
        <v>0</v>
      </c>
      <c r="M48" s="246"/>
    </row>
    <row r="49" spans="1:13" s="225" customFormat="1" ht="6.75" customHeight="1" x14ac:dyDescent="0.25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</row>
    <row r="50" spans="1:13" s="225" customFormat="1" ht="15" customHeight="1" x14ac:dyDescent="0.25">
      <c r="A50" s="246"/>
      <c r="B50" s="246"/>
      <c r="C50" s="251"/>
      <c r="D50" s="224" t="s">
        <v>561</v>
      </c>
      <c r="E50" s="224"/>
      <c r="F50" s="224"/>
      <c r="G50" s="224"/>
      <c r="H50" s="254"/>
      <c r="I50" s="224"/>
      <c r="K50" s="246"/>
      <c r="L50" s="269" t="str">
        <f>IFERROR(L48/(L41),"keine Vorauszahlung")</f>
        <v>keine Vorauszahlung</v>
      </c>
      <c r="M50" s="246"/>
    </row>
    <row r="51" spans="1:13" s="225" customFormat="1" ht="9" customHeight="1" x14ac:dyDescent="0.25">
      <c r="A51" s="246"/>
      <c r="B51" s="246"/>
      <c r="C51" s="251"/>
      <c r="D51" s="224"/>
      <c r="E51" s="224"/>
      <c r="F51" s="224"/>
      <c r="G51" s="224"/>
      <c r="H51" s="254"/>
      <c r="I51" s="224"/>
      <c r="K51" s="246"/>
      <c r="L51" s="257"/>
      <c r="M51" s="246"/>
    </row>
    <row r="52" spans="1:13" s="272" customFormat="1" ht="15.75" customHeight="1" x14ac:dyDescent="0.25">
      <c r="A52" s="251"/>
      <c r="B52" s="251"/>
      <c r="C52" s="251"/>
      <c r="D52" s="251" t="s">
        <v>761</v>
      </c>
      <c r="E52" s="251"/>
      <c r="F52" s="270"/>
      <c r="G52" s="249"/>
      <c r="H52" s="249"/>
      <c r="I52" s="249"/>
      <c r="J52" s="270"/>
      <c r="K52" s="251"/>
      <c r="L52" s="271">
        <f>IFERROR(IF(AND(L50&gt;0.7,K41=1),VLOOKUP(Dateneingabe!$C$2,'Daten 2021'!$A$3:$BZ$78,50,0),IF(AND(L50&gt;0.7,K41=2),VLOOKUP(Dateneingabe!$C$2,'Daten 2021'!$A$3:$BZ$78,52,0),IF(AND(L50&gt;0.7,K41=3),VLOOKUP(Dateneingabe!$C$2,'Daten 2021'!$A$3:$BZ$78,54,0),IF(AND(L50&gt;0.7,K41=4),VLOOKUP(Dateneingabe!$C$2,'Daten 2021'!$A$3:$BZ$78,56,0),IF(AND(L50&gt;0.7,K41=5),VLOOKUP(Dateneingabe!$C$2,'Daten 2021'!$A$3:$BZ$78,58,0),0))))),0)</f>
        <v>0</v>
      </c>
      <c r="M52" s="251"/>
    </row>
    <row r="53" spans="1:13" s="272" customFormat="1" ht="9" customHeight="1" x14ac:dyDescent="0.25">
      <c r="A53" s="251"/>
      <c r="B53" s="251"/>
      <c r="C53" s="251"/>
      <c r="D53" s="251"/>
      <c r="E53" s="251"/>
      <c r="F53" s="270"/>
      <c r="G53" s="249"/>
      <c r="H53" s="249"/>
      <c r="I53" s="249"/>
      <c r="J53" s="270"/>
      <c r="K53" s="251"/>
      <c r="M53" s="251"/>
    </row>
    <row r="54" spans="1:13" ht="15.6" x14ac:dyDescent="0.3">
      <c r="A54" s="4"/>
      <c r="B54" s="8" t="s">
        <v>562</v>
      </c>
      <c r="C54" s="9"/>
      <c r="D54" s="9"/>
      <c r="E54" s="10"/>
      <c r="F54" s="11"/>
      <c r="G54" s="11"/>
      <c r="H54" s="11"/>
      <c r="I54" s="10"/>
    </row>
    <row r="55" spans="1:13" ht="6" customHeight="1" x14ac:dyDescent="0.3">
      <c r="A55" s="4"/>
      <c r="B55" s="184"/>
      <c r="C55" s="184"/>
      <c r="D55" s="184"/>
      <c r="E55" s="184"/>
      <c r="F55" s="184"/>
      <c r="G55" s="184"/>
      <c r="H55" s="184"/>
      <c r="I55" s="184"/>
      <c r="J55" s="185"/>
      <c r="K55" s="185"/>
    </row>
    <row r="56" spans="1:13" ht="12.75" customHeight="1" x14ac:dyDescent="0.3">
      <c r="A56" s="4"/>
      <c r="B56" s="401" t="s">
        <v>743</v>
      </c>
      <c r="C56" s="401"/>
      <c r="D56" s="401"/>
      <c r="E56" s="401"/>
      <c r="F56" s="401"/>
      <c r="G56" s="401"/>
      <c r="H56" s="401"/>
      <c r="I56" s="401"/>
      <c r="J56" s="185"/>
      <c r="K56" s="185"/>
    </row>
    <row r="57" spans="1:13" ht="9" customHeight="1" thickBot="1" x14ac:dyDescent="0.35">
      <c r="A57" s="3"/>
      <c r="B57" s="186"/>
      <c r="C57" s="187"/>
      <c r="D57" s="187"/>
      <c r="E57" s="187"/>
      <c r="F57" s="187"/>
      <c r="G57" s="187"/>
      <c r="H57" s="187"/>
      <c r="I57" s="187"/>
    </row>
    <row r="58" spans="1:13" ht="20.25" customHeight="1" x14ac:dyDescent="0.3">
      <c r="A58" s="4"/>
      <c r="B58" s="120" t="s">
        <v>560</v>
      </c>
      <c r="C58" s="402"/>
      <c r="D58" s="402"/>
      <c r="E58" s="402"/>
      <c r="F58" s="403"/>
      <c r="G58" s="34"/>
      <c r="H58" s="34"/>
      <c r="I58" s="34"/>
    </row>
    <row r="59" spans="1:13" ht="26.25" customHeight="1" x14ac:dyDescent="0.3">
      <c r="A59" s="4"/>
      <c r="B59" s="264"/>
      <c r="C59" s="265"/>
      <c r="D59" s="265"/>
      <c r="E59" s="265"/>
      <c r="F59" s="25"/>
      <c r="G59" s="265"/>
      <c r="H59" s="265"/>
      <c r="I59" s="265"/>
    </row>
    <row r="60" spans="1:13" ht="15" customHeight="1" x14ac:dyDescent="0.3">
      <c r="A60" s="4"/>
      <c r="B60" s="188"/>
      <c r="C60" s="107"/>
      <c r="D60" s="108"/>
      <c r="E60" s="108"/>
      <c r="F60" s="113"/>
      <c r="G60" s="24"/>
      <c r="H60" s="24"/>
      <c r="I60" s="24"/>
    </row>
    <row r="61" spans="1:13" ht="12.75" customHeight="1" x14ac:dyDescent="0.3">
      <c r="A61" s="4"/>
      <c r="B61" s="26" t="s">
        <v>135</v>
      </c>
      <c r="C61" s="35"/>
      <c r="D61" s="261"/>
      <c r="E61" s="261" t="s">
        <v>136</v>
      </c>
      <c r="F61" s="110"/>
      <c r="G61" s="106"/>
      <c r="H61" s="58"/>
      <c r="I61" s="109"/>
    </row>
    <row r="62" spans="1:13" ht="3" customHeight="1" x14ac:dyDescent="0.3">
      <c r="A62" s="4"/>
      <c r="B62" s="20"/>
      <c r="C62" s="22"/>
      <c r="D62" s="22"/>
      <c r="E62" s="22"/>
      <c r="F62" s="25"/>
      <c r="G62" s="24"/>
      <c r="H62" s="24"/>
      <c r="I62" s="111"/>
    </row>
    <row r="63" spans="1:13" ht="15.75" customHeight="1" thickBot="1" x14ac:dyDescent="0.35">
      <c r="A63" s="4"/>
      <c r="B63" s="114" t="s">
        <v>559</v>
      </c>
      <c r="C63" s="404"/>
      <c r="D63" s="404"/>
      <c r="E63" s="404"/>
      <c r="F63" s="405"/>
      <c r="G63" s="112"/>
      <c r="H63" s="112"/>
      <c r="I63" s="112"/>
    </row>
    <row r="64" spans="1:13" ht="13.5" customHeight="1" x14ac:dyDescent="0.3">
      <c r="A64" s="4"/>
      <c r="B64" s="12"/>
      <c r="C64" s="13"/>
      <c r="D64" s="13"/>
      <c r="E64" s="14"/>
      <c r="F64" s="14"/>
      <c r="G64" s="15"/>
      <c r="H64" s="15"/>
      <c r="I64" s="16"/>
    </row>
    <row r="65" spans="1:13" s="213" customFormat="1" ht="6" customHeight="1" x14ac:dyDescent="0.25">
      <c r="A65" s="255"/>
      <c r="B65" s="259"/>
      <c r="C65" s="231"/>
      <c r="D65" s="231"/>
      <c r="E65" s="231"/>
      <c r="F65" s="256"/>
      <c r="G65" s="256"/>
      <c r="H65" s="256"/>
      <c r="I65" s="256"/>
      <c r="J65" s="256"/>
      <c r="K65" s="256"/>
      <c r="L65" s="256"/>
      <c r="M65" s="256"/>
    </row>
    <row r="66" spans="1:13" ht="15.6" x14ac:dyDescent="0.3">
      <c r="A66" s="4"/>
      <c r="B66" s="8" t="s">
        <v>766</v>
      </c>
      <c r="C66" s="9"/>
      <c r="D66" s="9"/>
      <c r="E66" s="10"/>
      <c r="F66" s="11"/>
      <c r="G66" s="11"/>
      <c r="H66" s="11"/>
      <c r="I66" s="11"/>
      <c r="J66" s="11"/>
      <c r="K66" s="11"/>
      <c r="L66" s="10"/>
      <c r="M66" s="6"/>
    </row>
    <row r="67" spans="1:13" ht="6" customHeight="1" x14ac:dyDescent="0.3">
      <c r="A67" s="4"/>
      <c r="B67" s="364" t="s">
        <v>765</v>
      </c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262"/>
    </row>
    <row r="68" spans="1:13" ht="12.75" customHeight="1" x14ac:dyDescent="0.3">
      <c r="A68" s="4"/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262"/>
    </row>
    <row r="69" spans="1:13" ht="15.75" customHeight="1" x14ac:dyDescent="0.3">
      <c r="A69" s="4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262"/>
    </row>
    <row r="70" spans="1:13" ht="13.5" customHeight="1" x14ac:dyDescent="0.3">
      <c r="A70" s="3"/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262"/>
    </row>
    <row r="71" spans="1:13" ht="6.75" customHeight="1" thickBot="1" x14ac:dyDescent="0.3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4.5" customHeight="1" x14ac:dyDescent="0.3">
      <c r="A72" s="4"/>
      <c r="B72" s="407"/>
      <c r="C72" s="408"/>
      <c r="D72" s="408"/>
      <c r="E72" s="408"/>
      <c r="F72" s="408"/>
      <c r="G72" s="408"/>
      <c r="H72" s="408"/>
      <c r="I72" s="408"/>
      <c r="J72" s="408"/>
      <c r="K72" s="408"/>
      <c r="L72" s="409"/>
      <c r="M72" s="260"/>
    </row>
    <row r="73" spans="1:13" ht="26.25" customHeight="1" x14ac:dyDescent="0.3">
      <c r="A73" s="4"/>
      <c r="B73" s="264"/>
      <c r="C73" s="265"/>
      <c r="D73" s="265"/>
      <c r="E73" s="265"/>
      <c r="F73" s="23"/>
      <c r="G73" s="24"/>
      <c r="H73" s="24"/>
      <c r="I73" s="265"/>
      <c r="J73" s="265"/>
      <c r="K73" s="265"/>
      <c r="L73" s="266"/>
      <c r="M73" s="265"/>
    </row>
    <row r="74" spans="1:13" ht="15" customHeight="1" x14ac:dyDescent="0.3">
      <c r="A74" s="4"/>
      <c r="B74" s="122"/>
      <c r="C74" s="107"/>
      <c r="D74" s="108"/>
      <c r="E74" s="19"/>
      <c r="F74" s="121"/>
      <c r="G74" s="58"/>
      <c r="H74" s="58"/>
      <c r="I74" s="24"/>
      <c r="J74" s="24"/>
      <c r="K74" s="24"/>
      <c r="L74" s="25"/>
      <c r="M74" s="24"/>
    </row>
    <row r="75" spans="1:13" ht="12.75" customHeight="1" x14ac:dyDescent="0.3">
      <c r="A75" s="4"/>
      <c r="B75" s="26" t="s">
        <v>135</v>
      </c>
      <c r="C75" s="410" t="s">
        <v>136</v>
      </c>
      <c r="D75" s="410"/>
      <c r="E75" s="411"/>
      <c r="F75" s="261" t="str">
        <f>IF(VLOOKUP(Dateneingabe!C2,'Daten 2021'!$A$2:$BZ$78,8,0)="","","Datum")</f>
        <v/>
      </c>
      <c r="G75" s="410" t="str">
        <f>IF(VLOOKUP(Dateneingabe!C2,'Daten 2021'!$A$2:$BZ$78,8,0)="","","Unterschrift")</f>
        <v/>
      </c>
      <c r="H75" s="410"/>
      <c r="I75" s="410"/>
      <c r="J75" s="410"/>
      <c r="K75" s="410"/>
      <c r="L75" s="412"/>
      <c r="M75" s="260"/>
    </row>
    <row r="76" spans="1:13" ht="6" customHeight="1" x14ac:dyDescent="0.3">
      <c r="A76" s="4"/>
      <c r="B76" s="20"/>
      <c r="C76" s="22"/>
      <c r="D76" s="22"/>
      <c r="E76" s="21"/>
      <c r="F76" s="394"/>
      <c r="G76" s="395"/>
      <c r="H76" s="395"/>
      <c r="I76" s="395"/>
      <c r="J76" s="395"/>
      <c r="K76" s="260"/>
      <c r="L76" s="18"/>
      <c r="M76" s="111"/>
    </row>
    <row r="77" spans="1:13" ht="15" customHeight="1" thickBot="1" x14ac:dyDescent="0.35">
      <c r="A77" s="4"/>
      <c r="B77" s="396" t="str">
        <f>IF(VLOOKUP(Dateneingabe!C2,'Daten 2021'!$A$2:$BZ$78,6,0)="","",VLOOKUP(Dateneingabe!C2,'Daten 2021'!$A$2:$BZ$78,6,0))</f>
        <v/>
      </c>
      <c r="C77" s="397"/>
      <c r="D77" s="397"/>
      <c r="E77" s="398"/>
      <c r="F77" s="399" t="str">
        <f>IF(VLOOKUP(Dateneingabe!C2,'Daten 2021'!$A$2:$BZ$78,8,0)="","",VLOOKUP(Dateneingabe!C2,'Daten 2021'!$A$2:$BZ$78,8,0))</f>
        <v/>
      </c>
      <c r="G77" s="397"/>
      <c r="H77" s="397"/>
      <c r="I77" s="397"/>
      <c r="J77" s="397"/>
      <c r="K77" s="397"/>
      <c r="L77" s="400"/>
      <c r="M77" s="193"/>
    </row>
  </sheetData>
  <sheetProtection algorithmName="SHA-512" hashValue="lRpA5JRs58LO5wohtPRygL/WKPZAZ19XSRJRimMFsAwMd2+xMDKme6hRkkHaOOKm6VI6xWLLkk0CoRn5iZxjeA==" saltValue="ixo5QlWpo6kuv36Y+DcFhw==" spinCount="100000" sheet="1" selectLockedCells="1"/>
  <mergeCells count="21">
    <mergeCell ref="F76:J76"/>
    <mergeCell ref="B77:E77"/>
    <mergeCell ref="F77:L77"/>
    <mergeCell ref="B56:I56"/>
    <mergeCell ref="C58:F58"/>
    <mergeCell ref="C63:F63"/>
    <mergeCell ref="B67:L70"/>
    <mergeCell ref="B72:L72"/>
    <mergeCell ref="C75:E75"/>
    <mergeCell ref="G75:L75"/>
    <mergeCell ref="I8:J8"/>
    <mergeCell ref="E10:F10"/>
    <mergeCell ref="J10:L10"/>
    <mergeCell ref="E32:H32"/>
    <mergeCell ref="I32:J32"/>
    <mergeCell ref="F6:L6"/>
    <mergeCell ref="B2:L2"/>
    <mergeCell ref="B4:E4"/>
    <mergeCell ref="F4:L4"/>
    <mergeCell ref="B5:E5"/>
    <mergeCell ref="F5:L5"/>
  </mergeCells>
  <phoneticPr fontId="15" type="noConversion"/>
  <conditionalFormatting sqref="F74">
    <cfRule type="expression" dxfId="79" priority="1">
      <formula>$F$77&lt;&gt;""</formula>
    </cfRule>
  </conditionalFormatting>
  <dataValidations count="3">
    <dataValidation allowBlank="1" sqref="I66:M66 B3:E3 B65:H66 A65:A70 B54:J54 J57 B64:F64 A54:A57 B71:H71" xr:uid="{E534C738-18B1-4AD6-9D6B-E3726097F859}"/>
    <dataValidation type="list" allowBlank="1" showInputMessage="1" showErrorMessage="1" sqref="K36:K40" xr:uid="{A4F41BB3-CE28-40FD-B3B3-BB911F6DD673}">
      <formula1>"--- ,X"</formula1>
    </dataValidation>
    <dataValidation type="date" allowBlank="1" showInputMessage="1" showErrorMessage="1" sqref="I8:J8 I32:J32" xr:uid="{CE121EC6-FFE4-4482-B7CF-8463FD17BEED}">
      <formula1>44631</formula1>
      <formula2>44988</formula2>
    </dataValidation>
  </dataValidations>
  <printOptions horizontalCentered="1"/>
  <pageMargins left="0.23622047244094491" right="0.27559055118110237" top="0.15748031496062992" bottom="0.51181102362204722" header="0.15748031496062992" footer="0.23622047244094491"/>
  <pageSetup paperSize="9" scale="76" orientation="portrait" r:id="rId1"/>
  <headerFooter alignWithMargins="0">
    <oddFooter>&amp;L&amp;"-,Standard"&amp;9Ben_InRe2a-KA131_Call2021-_v2022-08-01_frei&amp;R&amp;"-,Standard"&amp;9gedruckt am: 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7790-BA54-497A-A783-F324CCD011E9}">
  <dimension ref="A1:E31"/>
  <sheetViews>
    <sheetView workbookViewId="0"/>
  </sheetViews>
  <sheetFormatPr baseColWidth="10" defaultRowHeight="13.2" x14ac:dyDescent="0.25"/>
  <sheetData>
    <row r="1" spans="1:5" x14ac:dyDescent="0.25">
      <c r="C1" s="37" t="s">
        <v>520</v>
      </c>
      <c r="D1" s="37" t="s">
        <v>110</v>
      </c>
    </row>
    <row r="2" spans="1:5" x14ac:dyDescent="0.25">
      <c r="C2" s="37"/>
      <c r="D2" s="37"/>
    </row>
    <row r="3" spans="1:5" x14ac:dyDescent="0.25">
      <c r="A3" s="37" t="s">
        <v>515</v>
      </c>
    </row>
    <row r="4" spans="1:5" x14ac:dyDescent="0.25">
      <c r="B4" s="37" t="str">
        <f>B17</f>
        <v>SMS</v>
      </c>
      <c r="C4">
        <f>Dateneingabe!F5</f>
        <v>0</v>
      </c>
    </row>
    <row r="5" spans="1:5" x14ac:dyDescent="0.25">
      <c r="B5" s="37" t="str">
        <f>B18</f>
        <v>SMT</v>
      </c>
      <c r="C5">
        <f>Dateneingabe!F10</f>
        <v>0</v>
      </c>
    </row>
    <row r="6" spans="1:5" x14ac:dyDescent="0.25">
      <c r="B6" s="37" t="str">
        <f>B19</f>
        <v>STA</v>
      </c>
      <c r="C6">
        <f>Dateneingabe!F20</f>
        <v>0</v>
      </c>
    </row>
    <row r="7" spans="1:5" x14ac:dyDescent="0.25">
      <c r="B7" s="37" t="str">
        <f>B20</f>
        <v>STT</v>
      </c>
      <c r="C7">
        <f>Dateneingabe!F25</f>
        <v>0</v>
      </c>
    </row>
    <row r="8" spans="1:5" x14ac:dyDescent="0.25">
      <c r="C8" s="40">
        <f>SUM(C4:C7)</f>
        <v>0</v>
      </c>
    </row>
    <row r="10" spans="1:5" x14ac:dyDescent="0.25">
      <c r="A10" s="37" t="str">
        <f>A27</f>
        <v>&lt;=100</v>
      </c>
      <c r="B10">
        <f>B27</f>
        <v>400</v>
      </c>
      <c r="C10">
        <f>IF(C8&lt;=100,C8,100)</f>
        <v>0</v>
      </c>
      <c r="D10" s="41">
        <f>B10*C10</f>
        <v>0</v>
      </c>
    </row>
    <row r="11" spans="1:5" x14ac:dyDescent="0.25">
      <c r="A11" s="37" t="str">
        <f>A28</f>
        <v>&gt;100</v>
      </c>
      <c r="B11">
        <f>B28</f>
        <v>230</v>
      </c>
      <c r="C11">
        <f>IF(C8&gt;100,C8-100,0)</f>
        <v>0</v>
      </c>
      <c r="D11" s="41">
        <f>B11*C11</f>
        <v>0</v>
      </c>
    </row>
    <row r="12" spans="1:5" x14ac:dyDescent="0.25">
      <c r="C12">
        <f>SUM(C10:C11)</f>
        <v>0</v>
      </c>
      <c r="D12" s="41">
        <f>SUM(D10:D11)</f>
        <v>0</v>
      </c>
      <c r="E12" s="42">
        <f>Dateneingabe!F44</f>
        <v>0</v>
      </c>
    </row>
    <row r="13" spans="1:5" x14ac:dyDescent="0.25">
      <c r="D13" s="41">
        <f>D30</f>
        <v>0</v>
      </c>
    </row>
    <row r="14" spans="1:5" x14ac:dyDescent="0.25">
      <c r="B14" s="37" t="str">
        <f>B31</f>
        <v>OS</v>
      </c>
      <c r="C14">
        <f>C12</f>
        <v>0</v>
      </c>
      <c r="D14" s="41">
        <f>D12</f>
        <v>0</v>
      </c>
    </row>
    <row r="16" spans="1:5" x14ac:dyDescent="0.25">
      <c r="A16" s="37" t="s">
        <v>521</v>
      </c>
    </row>
    <row r="17" spans="1:4" x14ac:dyDescent="0.25">
      <c r="B17" s="37" t="s">
        <v>507</v>
      </c>
      <c r="C17">
        <f>Dateneingabe!I5</f>
        <v>0</v>
      </c>
    </row>
    <row r="18" spans="1:4" x14ac:dyDescent="0.25">
      <c r="B18" s="37" t="s">
        <v>509</v>
      </c>
      <c r="C18">
        <f>Dateneingabe!I10</f>
        <v>0</v>
      </c>
    </row>
    <row r="19" spans="1:4" x14ac:dyDescent="0.25">
      <c r="B19" s="37" t="s">
        <v>2</v>
      </c>
      <c r="C19">
        <f>Dateneingabe!I20</f>
        <v>0</v>
      </c>
    </row>
    <row r="20" spans="1:4" x14ac:dyDescent="0.25">
      <c r="B20" s="37" t="s">
        <v>3</v>
      </c>
      <c r="C20">
        <f>Dateneingabe!I25</f>
        <v>0</v>
      </c>
    </row>
    <row r="21" spans="1:4" x14ac:dyDescent="0.25">
      <c r="C21" s="40">
        <f>SUM(C17:C20)</f>
        <v>0</v>
      </c>
    </row>
    <row r="22" spans="1:4" x14ac:dyDescent="0.25">
      <c r="C22" s="40"/>
    </row>
    <row r="23" spans="1:4" x14ac:dyDescent="0.25">
      <c r="A23" s="37" t="s">
        <v>522</v>
      </c>
      <c r="C23" s="43">
        <f>C14*0.9</f>
        <v>0</v>
      </c>
    </row>
    <row r="24" spans="1:4" x14ac:dyDescent="0.25">
      <c r="C24" s="40"/>
    </row>
    <row r="25" spans="1:4" x14ac:dyDescent="0.25">
      <c r="A25" s="37" t="s">
        <v>523</v>
      </c>
      <c r="C25" s="40">
        <f>IF(C21&lt;C23,C21,C14)</f>
        <v>0</v>
      </c>
    </row>
    <row r="27" spans="1:4" x14ac:dyDescent="0.25">
      <c r="A27" s="37" t="s">
        <v>518</v>
      </c>
      <c r="B27">
        <v>400</v>
      </c>
      <c r="C27">
        <f>IF(C25&lt;=100,C25,100)</f>
        <v>0</v>
      </c>
      <c r="D27" s="41">
        <f>B27*C27</f>
        <v>0</v>
      </c>
    </row>
    <row r="28" spans="1:4" x14ac:dyDescent="0.25">
      <c r="A28" s="37" t="s">
        <v>519</v>
      </c>
      <c r="B28">
        <v>230</v>
      </c>
      <c r="C28">
        <f>IF(C25&gt;100,C25-100,0)</f>
        <v>0</v>
      </c>
      <c r="D28" s="41">
        <f>B28*C28</f>
        <v>0</v>
      </c>
    </row>
    <row r="29" spans="1:4" x14ac:dyDescent="0.25">
      <c r="C29">
        <f>SUM(C27:C28)</f>
        <v>0</v>
      </c>
      <c r="D29" s="41">
        <f>SUM(D27:D28)</f>
        <v>0</v>
      </c>
    </row>
    <row r="30" spans="1:4" x14ac:dyDescent="0.25">
      <c r="D30" s="41"/>
    </row>
    <row r="31" spans="1:4" x14ac:dyDescent="0.25">
      <c r="B31" s="37" t="s">
        <v>517</v>
      </c>
      <c r="D31" s="41">
        <f>SUM(D27:D28)</f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AD8E-8CD6-415B-A28A-6E48CDE575FA}">
  <dimension ref="A1:BZ86"/>
  <sheetViews>
    <sheetView workbookViewId="0">
      <pane xSplit="1" ySplit="1" topLeftCell="BO2" activePane="bottomRight" state="frozenSplit"/>
      <selection pane="topRight" activeCell="I1" sqref="I1"/>
      <selection pane="bottomLeft" activeCell="A29" sqref="A29"/>
      <selection pane="bottomRight" activeCell="CA1" sqref="CA1"/>
    </sheetView>
  </sheetViews>
  <sheetFormatPr baseColWidth="10" defaultColWidth="11.44140625" defaultRowHeight="14.4" x14ac:dyDescent="0.3"/>
  <cols>
    <col min="1" max="1" width="16.5546875" style="27" hidden="1" customWidth="1"/>
    <col min="2" max="2" width="42.44140625" style="27" hidden="1" customWidth="1"/>
    <col min="3" max="3" width="15.6640625" style="31" hidden="1" customWidth="1"/>
    <col min="4" max="4" width="33.5546875" style="27" hidden="1" customWidth="1"/>
    <col min="5" max="5" width="17.109375" style="27" hidden="1" customWidth="1"/>
    <col min="6" max="6" width="38.5546875" style="30" hidden="1" customWidth="1"/>
    <col min="7" max="7" width="48.6640625" style="30" hidden="1" customWidth="1"/>
    <col min="8" max="9" width="33.5546875" style="30" hidden="1" customWidth="1"/>
    <col min="10" max="10" width="12.109375" style="27" hidden="1" customWidth="1"/>
    <col min="11" max="11" width="9.6640625" style="27" hidden="1" customWidth="1"/>
    <col min="12" max="12" width="9" style="27" hidden="1" customWidth="1"/>
    <col min="13" max="13" width="12.109375" style="27" hidden="1" customWidth="1"/>
    <col min="14" max="14" width="9.6640625" style="27" hidden="1" customWidth="1"/>
    <col min="15" max="15" width="9" style="27" hidden="1" customWidth="1"/>
    <col min="16" max="16" width="11.5546875" style="27" hidden="1" customWidth="1"/>
    <col min="17" max="17" width="8.109375" style="27" hidden="1" customWidth="1"/>
    <col min="18" max="18" width="8.44140625" style="27" hidden="1" customWidth="1"/>
    <col min="19" max="19" width="11.33203125" style="27" hidden="1" customWidth="1"/>
    <col min="20" max="20" width="7.88671875" style="27" hidden="1" customWidth="1"/>
    <col min="21" max="21" width="8.109375" style="27" hidden="1" customWidth="1"/>
    <col min="22" max="22" width="12" style="30" hidden="1" customWidth="1"/>
    <col min="23" max="23" width="8.88671875" style="30" hidden="1" customWidth="1"/>
    <col min="24" max="24" width="12" style="30" hidden="1" customWidth="1"/>
    <col min="25" max="25" width="8.88671875" style="30" hidden="1" customWidth="1"/>
    <col min="26" max="26" width="12" style="30" hidden="1" customWidth="1"/>
    <col min="27" max="27" width="8.88671875" style="30" hidden="1" customWidth="1"/>
    <col min="28" max="28" width="12" style="30" hidden="1" customWidth="1"/>
    <col min="29" max="29" width="8.88671875" style="30" hidden="1" customWidth="1"/>
    <col min="30" max="30" width="12" style="30" hidden="1" customWidth="1"/>
    <col min="31" max="33" width="8.88671875" style="30" hidden="1" customWidth="1"/>
    <col min="34" max="34" width="15.88671875" style="30" hidden="1" customWidth="1"/>
    <col min="35" max="35" width="12.6640625" style="30" hidden="1" customWidth="1"/>
    <col min="36" max="36" width="15.109375" style="30" hidden="1" customWidth="1"/>
    <col min="37" max="37" width="12" style="30" hidden="1" customWidth="1"/>
    <col min="38" max="38" width="16.109375" style="30" hidden="1" customWidth="1"/>
    <col min="39" max="39" width="7.6640625" style="28" hidden="1" customWidth="1"/>
    <col min="40" max="40" width="10.6640625" style="28" hidden="1" customWidth="1"/>
    <col min="41" max="41" width="16.88671875" style="287" hidden="1" customWidth="1"/>
    <col min="42" max="43" width="15.6640625" style="28" hidden="1" customWidth="1"/>
    <col min="44" max="44" width="14.5546875" style="32" hidden="1" customWidth="1"/>
    <col min="45" max="47" width="9.33203125" style="32" hidden="1" customWidth="1"/>
    <col min="48" max="48" width="13.109375" style="287" hidden="1" customWidth="1"/>
    <col min="49" max="49" width="6.33203125" style="287" hidden="1" customWidth="1"/>
    <col min="50" max="50" width="13.109375" style="287" hidden="1" customWidth="1"/>
    <col min="51" max="51" width="6.33203125" style="287" hidden="1" customWidth="1"/>
    <col min="52" max="52" width="13.109375" style="287" hidden="1" customWidth="1"/>
    <col min="53" max="53" width="6.33203125" style="287" hidden="1" customWidth="1"/>
    <col min="54" max="54" width="13.109375" style="287" hidden="1" customWidth="1"/>
    <col min="55" max="55" width="6.33203125" style="287" hidden="1" customWidth="1"/>
    <col min="56" max="56" width="13.109375" style="287" hidden="1" customWidth="1"/>
    <col min="57" max="57" width="6.33203125" style="287" hidden="1" customWidth="1"/>
    <col min="58" max="58" width="13.109375" style="287" hidden="1" customWidth="1"/>
    <col min="59" max="59" width="6.33203125" style="287" hidden="1" customWidth="1"/>
    <col min="60" max="60" width="13.109375" style="287" hidden="1" customWidth="1"/>
    <col min="61" max="61" width="6.33203125" style="287" hidden="1" customWidth="1"/>
    <col min="62" max="62" width="13.109375" style="287" hidden="1" customWidth="1"/>
    <col min="63" max="63" width="6.33203125" style="287" hidden="1" customWidth="1"/>
    <col min="64" max="64" width="13.109375" style="287" hidden="1" customWidth="1"/>
    <col min="65" max="65" width="6.33203125" style="287" hidden="1" customWidth="1"/>
    <col min="66" max="66" width="13.109375" style="287" hidden="1" customWidth="1"/>
    <col min="67" max="67" width="6.33203125" style="287" hidden="1" customWidth="1"/>
    <col min="68" max="68" width="13.109375" style="287" hidden="1" customWidth="1"/>
    <col min="69" max="69" width="6.33203125" style="287" hidden="1" customWidth="1"/>
    <col min="70" max="70" width="14" style="287" hidden="1" customWidth="1"/>
    <col min="71" max="71" width="6.33203125" style="287" hidden="1" customWidth="1"/>
    <col min="72" max="72" width="13.109375" style="287" hidden="1" customWidth="1"/>
    <col min="73" max="73" width="20.6640625" style="27" hidden="1" customWidth="1"/>
    <col min="74" max="75" width="0" style="33" hidden="1" customWidth="1"/>
    <col min="76" max="76" width="12.6640625" style="33" hidden="1" customWidth="1"/>
    <col min="77" max="77" width="46.5546875" style="33" hidden="1" customWidth="1"/>
    <col min="78" max="78" width="29.44140625" style="33" hidden="1" customWidth="1"/>
    <col min="79" max="16384" width="11.44140625" style="27"/>
  </cols>
  <sheetData>
    <row r="1" spans="1:78" x14ac:dyDescent="0.3">
      <c r="A1" s="295" t="s">
        <v>217</v>
      </c>
      <c r="B1" s="295" t="s">
        <v>218</v>
      </c>
      <c r="C1" s="295" t="s">
        <v>332</v>
      </c>
      <c r="D1" s="295" t="s">
        <v>78</v>
      </c>
      <c r="E1" s="295" t="s">
        <v>424</v>
      </c>
      <c r="F1" s="295" t="s">
        <v>336</v>
      </c>
      <c r="G1" s="295" t="s">
        <v>337</v>
      </c>
      <c r="H1" s="295" t="s">
        <v>338</v>
      </c>
      <c r="I1" s="295" t="s">
        <v>413</v>
      </c>
      <c r="J1" s="295" t="s">
        <v>219</v>
      </c>
      <c r="K1" s="295" t="s">
        <v>807</v>
      </c>
      <c r="L1" s="295" t="s">
        <v>220</v>
      </c>
      <c r="M1" s="295" t="s">
        <v>221</v>
      </c>
      <c r="N1" s="295" t="s">
        <v>808</v>
      </c>
      <c r="O1" s="295" t="s">
        <v>222</v>
      </c>
      <c r="P1" s="295" t="s">
        <v>223</v>
      </c>
      <c r="Q1" s="295" t="s">
        <v>224</v>
      </c>
      <c r="R1" s="295" t="s">
        <v>225</v>
      </c>
      <c r="S1" s="295" t="s">
        <v>226</v>
      </c>
      <c r="T1" s="295" t="s">
        <v>227</v>
      </c>
      <c r="U1" s="295" t="s">
        <v>228</v>
      </c>
      <c r="V1" s="295" t="s">
        <v>414</v>
      </c>
      <c r="W1" s="295" t="s">
        <v>415</v>
      </c>
      <c r="X1" s="295" t="s">
        <v>416</v>
      </c>
      <c r="Y1" s="295" t="s">
        <v>417</v>
      </c>
      <c r="Z1" s="295" t="s">
        <v>418</v>
      </c>
      <c r="AA1" s="295" t="s">
        <v>419</v>
      </c>
      <c r="AB1" s="295" t="s">
        <v>420</v>
      </c>
      <c r="AC1" s="295" t="s">
        <v>421</v>
      </c>
      <c r="AD1" s="295" t="s">
        <v>422</v>
      </c>
      <c r="AE1" s="295" t="s">
        <v>423</v>
      </c>
      <c r="AF1" s="295" t="s">
        <v>809</v>
      </c>
      <c r="AG1" s="295" t="s">
        <v>810</v>
      </c>
      <c r="AH1" s="295" t="s">
        <v>527</v>
      </c>
      <c r="AI1" s="295" t="s">
        <v>528</v>
      </c>
      <c r="AJ1" s="295" t="s">
        <v>525</v>
      </c>
      <c r="AK1" s="295" t="s">
        <v>526</v>
      </c>
      <c r="AL1" s="295" t="s">
        <v>529</v>
      </c>
      <c r="AM1" s="296" t="s">
        <v>229</v>
      </c>
      <c r="AN1" s="296" t="s">
        <v>230</v>
      </c>
      <c r="AO1" s="297" t="s">
        <v>231</v>
      </c>
      <c r="AP1" s="296" t="s">
        <v>565</v>
      </c>
      <c r="AQ1" s="296" t="s">
        <v>566</v>
      </c>
      <c r="AR1" s="296" t="s">
        <v>232</v>
      </c>
      <c r="AS1" s="298" t="s">
        <v>233</v>
      </c>
      <c r="AT1" s="298" t="s">
        <v>234</v>
      </c>
      <c r="AU1" s="298" t="s">
        <v>235</v>
      </c>
      <c r="AV1" s="297" t="s">
        <v>775</v>
      </c>
      <c r="AW1" s="297" t="s">
        <v>776</v>
      </c>
      <c r="AX1" s="297" t="s">
        <v>777</v>
      </c>
      <c r="AY1" s="297" t="s">
        <v>778</v>
      </c>
      <c r="AZ1" s="297" t="s">
        <v>779</v>
      </c>
      <c r="BA1" s="297" t="s">
        <v>780</v>
      </c>
      <c r="BB1" s="297" t="s">
        <v>781</v>
      </c>
      <c r="BC1" s="297" t="s">
        <v>782</v>
      </c>
      <c r="BD1" s="297" t="s">
        <v>783</v>
      </c>
      <c r="BE1" s="297" t="s">
        <v>784</v>
      </c>
      <c r="BF1" s="297" t="s">
        <v>785</v>
      </c>
      <c r="BG1" s="297" t="s">
        <v>786</v>
      </c>
      <c r="BH1" s="297" t="s">
        <v>787</v>
      </c>
      <c r="BI1" s="297" t="s">
        <v>788</v>
      </c>
      <c r="BJ1" s="297" t="s">
        <v>789</v>
      </c>
      <c r="BK1" s="297" t="s">
        <v>790</v>
      </c>
      <c r="BL1" s="297" t="s">
        <v>791</v>
      </c>
      <c r="BM1" s="297" t="s">
        <v>792</v>
      </c>
      <c r="BN1" s="297" t="s">
        <v>793</v>
      </c>
      <c r="BO1" s="297" t="s">
        <v>794</v>
      </c>
      <c r="BP1" s="297" t="s">
        <v>795</v>
      </c>
      <c r="BQ1" s="297" t="s">
        <v>796</v>
      </c>
      <c r="BR1" s="297" t="s">
        <v>797</v>
      </c>
      <c r="BS1" s="297" t="s">
        <v>798</v>
      </c>
      <c r="BT1" s="297" t="s">
        <v>799</v>
      </c>
      <c r="BU1" s="295" t="s">
        <v>236</v>
      </c>
      <c r="BV1" s="296" t="s">
        <v>237</v>
      </c>
      <c r="BW1" s="296" t="s">
        <v>238</v>
      </c>
      <c r="BX1" s="296" t="s">
        <v>239</v>
      </c>
      <c r="BY1" s="296" t="s">
        <v>240</v>
      </c>
      <c r="BZ1" s="296" t="s">
        <v>241</v>
      </c>
    </row>
    <row r="2" spans="1:78" x14ac:dyDescent="0.3">
      <c r="A2" s="289" t="s">
        <v>575</v>
      </c>
      <c r="B2" s="352" t="s">
        <v>824</v>
      </c>
      <c r="C2" s="289" t="s">
        <v>823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90"/>
      <c r="AP2" s="289">
        <v>0</v>
      </c>
      <c r="AQ2" s="289">
        <v>0</v>
      </c>
      <c r="AR2" s="289"/>
      <c r="AS2" s="289"/>
      <c r="AT2" s="289"/>
      <c r="AU2" s="289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>
        <f>IF('Daten 2021'!$AW2="x",'Daten 2021'!$AV2,0)+IF('Daten 2021'!$AY2="x",'Daten 2021'!$AX2,0)+IF('Daten 2021'!$BA2="x",'Daten 2021'!$AZ2,0)+IF('Daten 2021'!$BC2="x",'Daten 2021'!$BB2,0)+IF('Daten 2021'!$BE2="x",'Daten 2021'!$BD2,0)+IF('Daten 2021'!$BG2="x",'Daten 2021'!$BF2,0)+IF('Daten 2021'!$BI2="x",'Daten 2021'!$BH2,0)+IF('Daten 2021'!$BK2="x",'Daten 2021'!$BJ2,0)+IF('Daten 2021'!$BM2="x",'Daten 2021'!$BL2,0)+IF('Daten 2021'!$BO2="x",'Daten 2021'!$BN2,0)+IF('Daten 2021'!$BQ2="x",'Daten 2021'!$BP2,0)+IF('Daten 2021'!$BS2="x",'Daten 2021'!$BR2,0)</f>
        <v>0</v>
      </c>
      <c r="BU2" s="289"/>
      <c r="BV2" s="289"/>
      <c r="BW2" s="289"/>
      <c r="BX2" s="289"/>
      <c r="BY2" s="289"/>
      <c r="BZ2" s="289"/>
    </row>
    <row r="3" spans="1:78" x14ac:dyDescent="0.3">
      <c r="A3" s="291" t="s">
        <v>13</v>
      </c>
      <c r="B3" s="291" t="s">
        <v>79</v>
      </c>
      <c r="C3" s="291" t="s">
        <v>137</v>
      </c>
      <c r="D3" s="291" t="s">
        <v>242</v>
      </c>
      <c r="E3" s="291" t="s">
        <v>425</v>
      </c>
      <c r="F3" s="291" t="s">
        <v>339</v>
      </c>
      <c r="G3" s="291"/>
      <c r="H3" s="291"/>
      <c r="I3" s="291"/>
      <c r="J3" s="291">
        <v>0</v>
      </c>
      <c r="K3" s="291">
        <v>0</v>
      </c>
      <c r="L3" s="291">
        <v>0</v>
      </c>
      <c r="M3" s="291">
        <v>0</v>
      </c>
      <c r="N3" s="291">
        <v>0</v>
      </c>
      <c r="O3" s="291">
        <v>0</v>
      </c>
      <c r="P3" s="291">
        <v>5</v>
      </c>
      <c r="Q3" s="291">
        <v>25</v>
      </c>
      <c r="R3" s="291">
        <v>4300</v>
      </c>
      <c r="S3" s="291">
        <v>8</v>
      </c>
      <c r="T3" s="291">
        <v>40</v>
      </c>
      <c r="U3" s="291">
        <v>6880</v>
      </c>
      <c r="V3" s="291">
        <v>0</v>
      </c>
      <c r="W3" s="291">
        <v>0</v>
      </c>
      <c r="X3" s="291">
        <v>0</v>
      </c>
      <c r="Y3" s="291">
        <v>0</v>
      </c>
      <c r="Z3" s="291">
        <v>0</v>
      </c>
      <c r="AA3" s="291">
        <v>0</v>
      </c>
      <c r="AB3" s="291">
        <v>0</v>
      </c>
      <c r="AC3" s="291">
        <v>0</v>
      </c>
      <c r="AD3" s="291">
        <v>0</v>
      </c>
      <c r="AE3" s="291">
        <v>0</v>
      </c>
      <c r="AF3" s="291">
        <v>0</v>
      </c>
      <c r="AG3" s="291">
        <v>0</v>
      </c>
      <c r="AH3" s="291"/>
      <c r="AI3" s="291"/>
      <c r="AJ3" s="291"/>
      <c r="AK3" s="291"/>
      <c r="AL3" s="291"/>
      <c r="AM3" s="291">
        <v>5200</v>
      </c>
      <c r="AN3" s="291">
        <v>13</v>
      </c>
      <c r="AO3" s="292">
        <v>16380</v>
      </c>
      <c r="AP3" s="291"/>
      <c r="AQ3" s="291"/>
      <c r="AR3" s="291" t="s">
        <v>243</v>
      </c>
      <c r="AS3" s="291">
        <v>13104</v>
      </c>
      <c r="AT3" s="291">
        <v>6552</v>
      </c>
      <c r="AU3" s="291">
        <v>3276</v>
      </c>
      <c r="AV3" s="299">
        <v>13104</v>
      </c>
      <c r="AW3" s="300" t="s">
        <v>772</v>
      </c>
      <c r="AX3" s="299">
        <v>3276</v>
      </c>
      <c r="AY3" s="301"/>
      <c r="AZ3" s="302"/>
      <c r="BA3" s="303"/>
      <c r="BB3" s="302"/>
      <c r="BC3" s="303"/>
      <c r="BD3" s="302"/>
      <c r="BE3" s="304"/>
      <c r="BF3" s="302"/>
      <c r="BG3" s="304"/>
      <c r="BH3" s="302"/>
      <c r="BI3" s="304"/>
      <c r="BJ3" s="302"/>
      <c r="BK3" s="304"/>
      <c r="BL3" s="302"/>
      <c r="BM3" s="304"/>
      <c r="BN3" s="302"/>
      <c r="BO3" s="304"/>
      <c r="BP3" s="302"/>
      <c r="BQ3" s="304"/>
      <c r="BR3" s="302"/>
      <c r="BS3" s="304"/>
      <c r="BT3" s="292">
        <f>IF('Daten 2021'!$AW3="x",'Daten 2021'!$AV3,0)+IF('Daten 2021'!$AY3="x",'Daten 2021'!$AX3,0)+IF('Daten 2021'!$BA3="x",'Daten 2021'!$AZ3,0)+IF('Daten 2021'!$BC3="x",'Daten 2021'!$BB3,0)+IF('Daten 2021'!$BE3="x",'Daten 2021'!$BD3,0)+IF('Daten 2021'!$BG3="x",'Daten 2021'!$BF3,0)+IF('Daten 2021'!$BI3="x",'Daten 2021'!$BH3,0)+IF('Daten 2021'!$BK3="x",'Daten 2021'!$BJ3,0)+IF('Daten 2021'!$BM3="x",'Daten 2021'!$BL3,0)+IF('Daten 2021'!$BO3="x",'Daten 2021'!$BN3,0)+IF('Daten 2021'!$BQ3="x",'Daten 2021'!$BP3,0)+IF('Daten 2021'!$BS3="x",'Daten 2021'!$BR3,0)</f>
        <v>13104</v>
      </c>
      <c r="BU3" s="291" t="s">
        <v>244</v>
      </c>
      <c r="BV3" s="291"/>
      <c r="BW3" s="291"/>
      <c r="BX3" s="291"/>
      <c r="BY3" s="291"/>
      <c r="BZ3" s="291"/>
    </row>
    <row r="4" spans="1:78" x14ac:dyDescent="0.3">
      <c r="A4" s="289" t="s">
        <v>14</v>
      </c>
      <c r="B4" s="291" t="s">
        <v>80</v>
      </c>
      <c r="C4" s="289" t="s">
        <v>138</v>
      </c>
      <c r="D4" s="289" t="s">
        <v>245</v>
      </c>
      <c r="E4" s="289" t="s">
        <v>426</v>
      </c>
      <c r="F4" s="289" t="s">
        <v>340</v>
      </c>
      <c r="G4" s="289"/>
      <c r="H4" s="289"/>
      <c r="I4" s="289"/>
      <c r="J4" s="289">
        <v>76</v>
      </c>
      <c r="K4" s="289">
        <v>12248</v>
      </c>
      <c r="L4" s="289">
        <v>180045</v>
      </c>
      <c r="M4" s="289">
        <v>2</v>
      </c>
      <c r="N4" s="289">
        <v>128</v>
      </c>
      <c r="O4" s="289">
        <v>2498</v>
      </c>
      <c r="P4" s="289">
        <v>0</v>
      </c>
      <c r="Q4" s="289">
        <v>0</v>
      </c>
      <c r="R4" s="289">
        <v>0</v>
      </c>
      <c r="S4" s="289">
        <v>0</v>
      </c>
      <c r="T4" s="289">
        <v>0</v>
      </c>
      <c r="U4" s="289">
        <v>0</v>
      </c>
      <c r="V4" s="289">
        <v>0</v>
      </c>
      <c r="W4" s="289">
        <v>0</v>
      </c>
      <c r="X4" s="289">
        <v>0</v>
      </c>
      <c r="Y4" s="289">
        <v>0</v>
      </c>
      <c r="Z4" s="289">
        <v>0</v>
      </c>
      <c r="AA4" s="289">
        <v>0</v>
      </c>
      <c r="AB4" s="289">
        <v>0</v>
      </c>
      <c r="AC4" s="289">
        <v>0</v>
      </c>
      <c r="AD4" s="289">
        <v>0</v>
      </c>
      <c r="AE4" s="289">
        <v>0</v>
      </c>
      <c r="AF4" s="289">
        <v>0</v>
      </c>
      <c r="AG4" s="289">
        <v>0</v>
      </c>
      <c r="AH4" s="289"/>
      <c r="AI4" s="289"/>
      <c r="AJ4" s="289"/>
      <c r="AK4" s="289"/>
      <c r="AL4" s="289"/>
      <c r="AM4" s="289">
        <v>31200</v>
      </c>
      <c r="AN4" s="289">
        <v>78</v>
      </c>
      <c r="AO4" s="290">
        <v>213743</v>
      </c>
      <c r="AP4" s="289"/>
      <c r="AQ4" s="289"/>
      <c r="AR4" s="289" t="s">
        <v>243</v>
      </c>
      <c r="AS4" s="289">
        <v>118190.40000000001</v>
      </c>
      <c r="AT4" s="289">
        <v>59095.200000000004</v>
      </c>
      <c r="AU4" s="289">
        <v>29547.600000000002</v>
      </c>
      <c r="AV4" s="299">
        <v>118190.39999999999</v>
      </c>
      <c r="AW4" s="300" t="s">
        <v>772</v>
      </c>
      <c r="AX4" s="305">
        <v>52804</v>
      </c>
      <c r="AY4" s="306" t="s">
        <v>772</v>
      </c>
      <c r="AZ4" s="305">
        <v>42748.600000000006</v>
      </c>
      <c r="BA4" s="306" t="s">
        <v>772</v>
      </c>
      <c r="BB4" s="307"/>
      <c r="BC4" s="308"/>
      <c r="BD4" s="307"/>
      <c r="BE4" s="304"/>
      <c r="BF4" s="307"/>
      <c r="BG4" s="309"/>
      <c r="BH4" s="307"/>
      <c r="BI4" s="309"/>
      <c r="BJ4" s="307"/>
      <c r="BK4" s="309"/>
      <c r="BL4" s="307"/>
      <c r="BM4" s="309"/>
      <c r="BN4" s="307"/>
      <c r="BO4" s="309"/>
      <c r="BP4" s="307"/>
      <c r="BQ4" s="309"/>
      <c r="BR4" s="307"/>
      <c r="BS4" s="309"/>
      <c r="BT4" s="290">
        <f>IF('Daten 2021'!$AW4="x",'Daten 2021'!$AV4,0)+IF('Daten 2021'!$AY4="x",'Daten 2021'!$AX4,0)+IF('Daten 2021'!$BA4="x",'Daten 2021'!$AZ4,0)+IF('Daten 2021'!$BC4="x",'Daten 2021'!$BB4,0)+IF('Daten 2021'!$BE4="x",'Daten 2021'!$BD4,0)+IF('Daten 2021'!$BG4="x",'Daten 2021'!$BF4,0)+IF('Daten 2021'!$BI4="x",'Daten 2021'!$BH4,0)+IF('Daten 2021'!$BK4="x",'Daten 2021'!$BJ4,0)+IF('Daten 2021'!$BM4="x",'Daten 2021'!$BL4,0)+IF('Daten 2021'!$BO4="x",'Daten 2021'!$BN4,0)+IF('Daten 2021'!$BQ4="x",'Daten 2021'!$BP4,0)+IF('Daten 2021'!$BS4="x",'Daten 2021'!$BR4,0)</f>
        <v>213743</v>
      </c>
      <c r="BU4" s="289" t="s">
        <v>244</v>
      </c>
      <c r="BV4" s="289"/>
      <c r="BW4" s="289"/>
      <c r="BX4" s="289"/>
      <c r="BY4" s="289"/>
      <c r="BZ4" s="289"/>
    </row>
    <row r="5" spans="1:78" x14ac:dyDescent="0.3">
      <c r="A5" s="291" t="s">
        <v>15</v>
      </c>
      <c r="B5" s="291" t="s">
        <v>81</v>
      </c>
      <c r="C5" s="291" t="s">
        <v>139</v>
      </c>
      <c r="D5" s="291" t="s">
        <v>246</v>
      </c>
      <c r="E5" s="291" t="s">
        <v>427</v>
      </c>
      <c r="F5" s="291" t="s">
        <v>341</v>
      </c>
      <c r="G5" s="291"/>
      <c r="H5" s="291"/>
      <c r="I5" s="291"/>
      <c r="J5" s="291">
        <v>26</v>
      </c>
      <c r="K5" s="291">
        <v>790</v>
      </c>
      <c r="L5" s="291">
        <v>11616</v>
      </c>
      <c r="M5" s="291">
        <v>2</v>
      </c>
      <c r="N5" s="291">
        <v>240</v>
      </c>
      <c r="O5" s="291">
        <v>4680</v>
      </c>
      <c r="P5" s="291">
        <v>10</v>
      </c>
      <c r="Q5" s="291">
        <v>40</v>
      </c>
      <c r="R5" s="291">
        <v>7400</v>
      </c>
      <c r="S5" s="291">
        <v>23</v>
      </c>
      <c r="T5" s="291">
        <v>110</v>
      </c>
      <c r="U5" s="291">
        <v>19180</v>
      </c>
      <c r="V5" s="291">
        <v>15</v>
      </c>
      <c r="W5" s="291">
        <v>6000</v>
      </c>
      <c r="X5" s="291">
        <v>15</v>
      </c>
      <c r="Y5" s="291">
        <v>6000</v>
      </c>
      <c r="Z5" s="291">
        <v>15</v>
      </c>
      <c r="AA5" s="291">
        <v>6000</v>
      </c>
      <c r="AB5" s="291">
        <v>0</v>
      </c>
      <c r="AC5" s="291">
        <v>0</v>
      </c>
      <c r="AD5" s="291">
        <v>0</v>
      </c>
      <c r="AE5" s="291">
        <v>0</v>
      </c>
      <c r="AF5" s="291">
        <v>0</v>
      </c>
      <c r="AG5" s="291">
        <v>0</v>
      </c>
      <c r="AH5" s="291"/>
      <c r="AI5" s="291"/>
      <c r="AJ5" s="291"/>
      <c r="AK5" s="291"/>
      <c r="AL5" s="291"/>
      <c r="AM5" s="291">
        <v>24400</v>
      </c>
      <c r="AN5" s="291">
        <v>61</v>
      </c>
      <c r="AO5" s="292">
        <v>85276</v>
      </c>
      <c r="AP5" s="291"/>
      <c r="AQ5" s="291"/>
      <c r="AR5" s="291" t="s">
        <v>243</v>
      </c>
      <c r="AS5" s="291">
        <v>43961.600000000006</v>
      </c>
      <c r="AT5" s="291">
        <v>21980.800000000003</v>
      </c>
      <c r="AU5" s="291">
        <v>10990.400000000001</v>
      </c>
      <c r="AV5" s="299">
        <v>43961.599999999999</v>
      </c>
      <c r="AW5" s="300" t="s">
        <v>772</v>
      </c>
      <c r="AX5" s="305">
        <v>24259.200000000001</v>
      </c>
      <c r="AY5" s="306" t="s">
        <v>772</v>
      </c>
      <c r="AZ5" s="310">
        <v>17055.199999999997</v>
      </c>
      <c r="BA5" s="311"/>
      <c r="BB5" s="307"/>
      <c r="BC5" s="308"/>
      <c r="BD5" s="307"/>
      <c r="BE5" s="304"/>
      <c r="BF5" s="307"/>
      <c r="BG5" s="309"/>
      <c r="BH5" s="307"/>
      <c r="BI5" s="309"/>
      <c r="BJ5" s="307"/>
      <c r="BK5" s="309"/>
      <c r="BL5" s="307"/>
      <c r="BM5" s="309"/>
      <c r="BN5" s="307"/>
      <c r="BO5" s="309"/>
      <c r="BP5" s="307"/>
      <c r="BQ5" s="309"/>
      <c r="BR5" s="307"/>
      <c r="BS5" s="309"/>
      <c r="BT5" s="292">
        <f>IF('Daten 2021'!$AW5="x",'Daten 2021'!$AV5,0)+IF('Daten 2021'!$AY5="x",'Daten 2021'!$AX5,0)+IF('Daten 2021'!$BA5="x",'Daten 2021'!$AZ5,0)+IF('Daten 2021'!$BC5="x",'Daten 2021'!$BB5,0)+IF('Daten 2021'!$BE5="x",'Daten 2021'!$BD5,0)+IF('Daten 2021'!$BG5="x",'Daten 2021'!$BF5,0)+IF('Daten 2021'!$BI5="x",'Daten 2021'!$BH5,0)+IF('Daten 2021'!$BK5="x",'Daten 2021'!$BJ5,0)+IF('Daten 2021'!$BM5="x",'Daten 2021'!$BL5,0)+IF('Daten 2021'!$BO5="x",'Daten 2021'!$BN5,0)+IF('Daten 2021'!$BQ5="x",'Daten 2021'!$BP5,0)+IF('Daten 2021'!$BS5="x",'Daten 2021'!$BR5,0)</f>
        <v>68220.800000000003</v>
      </c>
      <c r="BU5" s="291" t="s">
        <v>244</v>
      </c>
      <c r="BV5" s="291"/>
      <c r="BW5" s="291"/>
      <c r="BX5" s="291"/>
      <c r="BY5" s="291"/>
      <c r="BZ5" s="291"/>
    </row>
    <row r="6" spans="1:78" x14ac:dyDescent="0.3">
      <c r="A6" s="289" t="s">
        <v>16</v>
      </c>
      <c r="B6" s="291" t="s">
        <v>112</v>
      </c>
      <c r="C6" s="289" t="s">
        <v>140</v>
      </c>
      <c r="D6" s="289" t="s">
        <v>247</v>
      </c>
      <c r="E6" s="289" t="s">
        <v>428</v>
      </c>
      <c r="F6" s="289" t="s">
        <v>342</v>
      </c>
      <c r="G6" s="289"/>
      <c r="H6" s="289"/>
      <c r="I6" s="289"/>
      <c r="J6" s="289">
        <v>34</v>
      </c>
      <c r="K6" s="289">
        <v>4750</v>
      </c>
      <c r="L6" s="289">
        <v>69826</v>
      </c>
      <c r="M6" s="289">
        <v>12</v>
      </c>
      <c r="N6" s="289">
        <v>875</v>
      </c>
      <c r="O6" s="289">
        <v>17056</v>
      </c>
      <c r="P6" s="289">
        <v>5</v>
      </c>
      <c r="Q6" s="289">
        <v>19</v>
      </c>
      <c r="R6" s="289">
        <v>3600</v>
      </c>
      <c r="S6" s="289">
        <v>5</v>
      </c>
      <c r="T6" s="289">
        <v>19</v>
      </c>
      <c r="U6" s="289">
        <v>3600</v>
      </c>
      <c r="V6" s="289">
        <v>0</v>
      </c>
      <c r="W6" s="289">
        <v>0</v>
      </c>
      <c r="X6" s="289">
        <v>0</v>
      </c>
      <c r="Y6" s="289">
        <v>0</v>
      </c>
      <c r="Z6" s="289">
        <v>0</v>
      </c>
      <c r="AA6" s="289">
        <v>0</v>
      </c>
      <c r="AB6" s="289">
        <v>0</v>
      </c>
      <c r="AC6" s="289">
        <v>0</v>
      </c>
      <c r="AD6" s="289">
        <v>0</v>
      </c>
      <c r="AE6" s="289">
        <v>0</v>
      </c>
      <c r="AF6" s="289">
        <v>0</v>
      </c>
      <c r="AG6" s="289">
        <v>0</v>
      </c>
      <c r="AH6" s="289"/>
      <c r="AI6" s="289"/>
      <c r="AJ6" s="289"/>
      <c r="AK6" s="289"/>
      <c r="AL6" s="289"/>
      <c r="AM6" s="289">
        <v>22400</v>
      </c>
      <c r="AN6" s="289">
        <v>56</v>
      </c>
      <c r="AO6" s="290">
        <v>116482</v>
      </c>
      <c r="AP6" s="289"/>
      <c r="AQ6" s="289"/>
      <c r="AR6" s="289" t="s">
        <v>243</v>
      </c>
      <c r="AS6" s="289">
        <v>96961.600000000006</v>
      </c>
      <c r="AT6" s="289">
        <v>48480.800000000003</v>
      </c>
      <c r="AU6" s="289">
        <v>24240.400000000001</v>
      </c>
      <c r="AV6" s="299">
        <v>96961.600000000006</v>
      </c>
      <c r="AW6" s="300" t="s">
        <v>772</v>
      </c>
      <c r="AX6" s="312">
        <v>19520.399999999994</v>
      </c>
      <c r="AY6" s="313"/>
      <c r="AZ6" s="307"/>
      <c r="BA6" s="303"/>
      <c r="BB6" s="307"/>
      <c r="BC6" s="308"/>
      <c r="BD6" s="307"/>
      <c r="BE6" s="304"/>
      <c r="BF6" s="307"/>
      <c r="BG6" s="309"/>
      <c r="BH6" s="307"/>
      <c r="BI6" s="309"/>
      <c r="BJ6" s="307"/>
      <c r="BK6" s="309"/>
      <c r="BL6" s="307"/>
      <c r="BM6" s="309"/>
      <c r="BN6" s="307"/>
      <c r="BO6" s="309"/>
      <c r="BP6" s="307"/>
      <c r="BQ6" s="309"/>
      <c r="BR6" s="307"/>
      <c r="BS6" s="309"/>
      <c r="BT6" s="290">
        <f>IF('Daten 2021'!$AW6="x",'Daten 2021'!$AV6,0)+IF('Daten 2021'!$AY6="x",'Daten 2021'!$AX6,0)+IF('Daten 2021'!$BA6="x",'Daten 2021'!$AZ6,0)+IF('Daten 2021'!$BC6="x",'Daten 2021'!$BB6,0)+IF('Daten 2021'!$BE6="x",'Daten 2021'!$BD6,0)+IF('Daten 2021'!$BG6="x",'Daten 2021'!$BF6,0)+IF('Daten 2021'!$BI6="x",'Daten 2021'!$BH6,0)+IF('Daten 2021'!$BK6="x",'Daten 2021'!$BJ6,0)+IF('Daten 2021'!$BM6="x",'Daten 2021'!$BL6,0)+IF('Daten 2021'!$BO6="x",'Daten 2021'!$BN6,0)+IF('Daten 2021'!$BQ6="x",'Daten 2021'!$BP6,0)+IF('Daten 2021'!$BS6="x",'Daten 2021'!$BR6,0)</f>
        <v>96961.600000000006</v>
      </c>
      <c r="BU6" s="289" t="s">
        <v>244</v>
      </c>
      <c r="BV6" s="289"/>
      <c r="BW6" s="289"/>
      <c r="BX6" s="289"/>
      <c r="BY6" s="289"/>
      <c r="BZ6" s="289"/>
    </row>
    <row r="7" spans="1:78" x14ac:dyDescent="0.3">
      <c r="A7" s="291" t="s">
        <v>17</v>
      </c>
      <c r="B7" s="291" t="s">
        <v>248</v>
      </c>
      <c r="C7" s="291" t="s">
        <v>141</v>
      </c>
      <c r="D7" s="291" t="s">
        <v>249</v>
      </c>
      <c r="E7" s="291" t="s">
        <v>429</v>
      </c>
      <c r="F7" s="291" t="s">
        <v>343</v>
      </c>
      <c r="G7" s="291"/>
      <c r="H7" s="291"/>
      <c r="I7" s="291"/>
      <c r="J7" s="291">
        <v>2</v>
      </c>
      <c r="K7" s="291">
        <v>272</v>
      </c>
      <c r="L7" s="291">
        <v>4000</v>
      </c>
      <c r="M7" s="291">
        <v>0</v>
      </c>
      <c r="N7" s="291">
        <v>0</v>
      </c>
      <c r="O7" s="291">
        <v>0</v>
      </c>
      <c r="P7" s="291">
        <v>5</v>
      </c>
      <c r="Q7" s="291">
        <v>25</v>
      </c>
      <c r="R7" s="291">
        <v>4300</v>
      </c>
      <c r="S7" s="291">
        <v>2</v>
      </c>
      <c r="T7" s="291">
        <v>12</v>
      </c>
      <c r="U7" s="291">
        <v>2000</v>
      </c>
      <c r="V7" s="291">
        <v>0</v>
      </c>
      <c r="W7" s="291">
        <v>0</v>
      </c>
      <c r="X7" s="291">
        <v>0</v>
      </c>
      <c r="Y7" s="291">
        <v>0</v>
      </c>
      <c r="Z7" s="291">
        <v>0</v>
      </c>
      <c r="AA7" s="291">
        <v>0</v>
      </c>
      <c r="AB7" s="291">
        <v>0</v>
      </c>
      <c r="AC7" s="291">
        <v>0</v>
      </c>
      <c r="AD7" s="291">
        <v>0</v>
      </c>
      <c r="AE7" s="291">
        <v>0</v>
      </c>
      <c r="AF7" s="291">
        <v>0</v>
      </c>
      <c r="AG7" s="291">
        <v>0</v>
      </c>
      <c r="AH7" s="291"/>
      <c r="AI7" s="291"/>
      <c r="AJ7" s="291"/>
      <c r="AK7" s="291"/>
      <c r="AL7" s="291"/>
      <c r="AM7" s="291">
        <v>3600</v>
      </c>
      <c r="AN7" s="291">
        <v>9</v>
      </c>
      <c r="AO7" s="292">
        <v>13900</v>
      </c>
      <c r="AP7" s="291"/>
      <c r="AQ7" s="291"/>
      <c r="AR7" s="291" t="s">
        <v>243</v>
      </c>
      <c r="AS7" s="291">
        <v>13963.2</v>
      </c>
      <c r="AT7" s="291">
        <v>6981.6</v>
      </c>
      <c r="AU7" s="291">
        <v>3490.8</v>
      </c>
      <c r="AV7" s="299">
        <v>13963.2</v>
      </c>
      <c r="AW7" s="300" t="s">
        <v>772</v>
      </c>
      <c r="AX7" s="305">
        <v>-63.2</v>
      </c>
      <c r="AY7" s="306" t="s">
        <v>772</v>
      </c>
      <c r="AZ7" s="307"/>
      <c r="BA7" s="314"/>
      <c r="BB7" s="307"/>
      <c r="BC7" s="308"/>
      <c r="BD7" s="307"/>
      <c r="BE7" s="304"/>
      <c r="BF7" s="307"/>
      <c r="BG7" s="309"/>
      <c r="BH7" s="307"/>
      <c r="BI7" s="309"/>
      <c r="BJ7" s="307"/>
      <c r="BK7" s="309"/>
      <c r="BL7" s="307"/>
      <c r="BM7" s="309"/>
      <c r="BN7" s="307"/>
      <c r="BO7" s="309"/>
      <c r="BP7" s="307"/>
      <c r="BQ7" s="309"/>
      <c r="BR7" s="307"/>
      <c r="BS7" s="309"/>
      <c r="BT7" s="292">
        <f>IF('Daten 2021'!$AW7="x",'Daten 2021'!$AV7,0)+IF('Daten 2021'!$AY7="x",'Daten 2021'!$AX7,0)+IF('Daten 2021'!$BA7="x",'Daten 2021'!$AZ7,0)+IF('Daten 2021'!$BC7="x",'Daten 2021'!$BB7,0)+IF('Daten 2021'!$BE7="x",'Daten 2021'!$BD7,0)+IF('Daten 2021'!$BG7="x",'Daten 2021'!$BF7,0)+IF('Daten 2021'!$BI7="x",'Daten 2021'!$BH7,0)+IF('Daten 2021'!$BK7="x",'Daten 2021'!$BJ7,0)+IF('Daten 2021'!$BM7="x",'Daten 2021'!$BL7,0)+IF('Daten 2021'!$BO7="x",'Daten 2021'!$BN7,0)+IF('Daten 2021'!$BQ7="x",'Daten 2021'!$BP7,0)+IF('Daten 2021'!$BS7="x",'Daten 2021'!$BR7,0)</f>
        <v>13900</v>
      </c>
      <c r="BU7" s="291" t="s">
        <v>244</v>
      </c>
      <c r="BV7" s="291"/>
      <c r="BW7" s="291"/>
      <c r="BX7" s="291"/>
      <c r="BY7" s="291"/>
      <c r="BZ7" s="291"/>
    </row>
    <row r="8" spans="1:78" x14ac:dyDescent="0.3">
      <c r="A8" s="289" t="s">
        <v>18</v>
      </c>
      <c r="B8" s="291" t="s">
        <v>6</v>
      </c>
      <c r="C8" s="289" t="s">
        <v>142</v>
      </c>
      <c r="D8" s="289" t="s">
        <v>250</v>
      </c>
      <c r="E8" s="289" t="s">
        <v>430</v>
      </c>
      <c r="F8" s="289" t="s">
        <v>344</v>
      </c>
      <c r="G8" s="289"/>
      <c r="H8" s="289"/>
      <c r="I8" s="289"/>
      <c r="J8" s="289">
        <v>0</v>
      </c>
      <c r="K8" s="289">
        <v>0</v>
      </c>
      <c r="L8" s="289">
        <v>0</v>
      </c>
      <c r="M8" s="289">
        <v>0</v>
      </c>
      <c r="N8" s="289">
        <v>0</v>
      </c>
      <c r="O8" s="289">
        <v>0</v>
      </c>
      <c r="P8" s="289">
        <v>3</v>
      </c>
      <c r="Q8" s="289">
        <v>15</v>
      </c>
      <c r="R8" s="289">
        <v>2580</v>
      </c>
      <c r="S8" s="289">
        <v>3</v>
      </c>
      <c r="T8" s="289">
        <v>15</v>
      </c>
      <c r="U8" s="289">
        <v>2580</v>
      </c>
      <c r="V8" s="289">
        <v>0</v>
      </c>
      <c r="W8" s="289">
        <v>0</v>
      </c>
      <c r="X8" s="289">
        <v>0</v>
      </c>
      <c r="Y8" s="289">
        <v>0</v>
      </c>
      <c r="Z8" s="289">
        <v>0</v>
      </c>
      <c r="AA8" s="289">
        <v>0</v>
      </c>
      <c r="AB8" s="289">
        <v>0</v>
      </c>
      <c r="AC8" s="289">
        <v>0</v>
      </c>
      <c r="AD8" s="289">
        <v>0</v>
      </c>
      <c r="AE8" s="289">
        <v>0</v>
      </c>
      <c r="AF8" s="289">
        <v>0</v>
      </c>
      <c r="AG8" s="289">
        <v>0</v>
      </c>
      <c r="AH8" s="289"/>
      <c r="AI8" s="289"/>
      <c r="AJ8" s="289"/>
      <c r="AK8" s="289"/>
      <c r="AL8" s="289"/>
      <c r="AM8" s="289">
        <v>2400</v>
      </c>
      <c r="AN8" s="289">
        <v>6</v>
      </c>
      <c r="AO8" s="290">
        <v>7560</v>
      </c>
      <c r="AP8" s="289"/>
      <c r="AQ8" s="289"/>
      <c r="AR8" s="289" t="s">
        <v>243</v>
      </c>
      <c r="AS8" s="289">
        <v>6048</v>
      </c>
      <c r="AT8" s="289">
        <v>3024</v>
      </c>
      <c r="AU8" s="289">
        <v>1512</v>
      </c>
      <c r="AV8" s="299">
        <v>6048</v>
      </c>
      <c r="AW8" s="300" t="s">
        <v>772</v>
      </c>
      <c r="AX8" s="299">
        <v>1512</v>
      </c>
      <c r="AY8" s="301"/>
      <c r="AZ8" s="307"/>
      <c r="BA8" s="303"/>
      <c r="BB8" s="307"/>
      <c r="BC8" s="308"/>
      <c r="BD8" s="307"/>
      <c r="BE8" s="304"/>
      <c r="BF8" s="307"/>
      <c r="BG8" s="309"/>
      <c r="BH8" s="307"/>
      <c r="BI8" s="309"/>
      <c r="BJ8" s="307"/>
      <c r="BK8" s="309"/>
      <c r="BL8" s="307"/>
      <c r="BM8" s="309"/>
      <c r="BN8" s="307"/>
      <c r="BO8" s="309"/>
      <c r="BP8" s="307"/>
      <c r="BQ8" s="309"/>
      <c r="BR8" s="307"/>
      <c r="BS8" s="309"/>
      <c r="BT8" s="290">
        <f>IF('Daten 2021'!$AW8="x",'Daten 2021'!$AV8,0)+IF('Daten 2021'!$AY8="x",'Daten 2021'!$AX8,0)+IF('Daten 2021'!$BA8="x",'Daten 2021'!$AZ8,0)+IF('Daten 2021'!$BC8="x",'Daten 2021'!$BB8,0)+IF('Daten 2021'!$BE8="x",'Daten 2021'!$BD8,0)+IF('Daten 2021'!$BG8="x",'Daten 2021'!$BF8,0)+IF('Daten 2021'!$BI8="x",'Daten 2021'!$BH8,0)+IF('Daten 2021'!$BK8="x",'Daten 2021'!$BJ8,0)+IF('Daten 2021'!$BM8="x",'Daten 2021'!$BL8,0)+IF('Daten 2021'!$BO8="x",'Daten 2021'!$BN8,0)+IF('Daten 2021'!$BQ8="x",'Daten 2021'!$BP8,0)+IF('Daten 2021'!$BS8="x",'Daten 2021'!$BR8,0)</f>
        <v>6048</v>
      </c>
      <c r="BU8" s="289" t="s">
        <v>244</v>
      </c>
      <c r="BV8" s="289"/>
      <c r="BW8" s="289"/>
      <c r="BX8" s="289"/>
      <c r="BY8" s="289"/>
      <c r="BZ8" s="289"/>
    </row>
    <row r="9" spans="1:78" x14ac:dyDescent="0.3">
      <c r="A9" s="291" t="s">
        <v>128</v>
      </c>
      <c r="B9" s="291" t="s">
        <v>212</v>
      </c>
      <c r="C9" s="291" t="s">
        <v>143</v>
      </c>
      <c r="D9" s="291" t="s">
        <v>251</v>
      </c>
      <c r="E9" s="291" t="s">
        <v>431</v>
      </c>
      <c r="F9" s="291" t="s">
        <v>345</v>
      </c>
      <c r="G9" s="291"/>
      <c r="H9" s="291"/>
      <c r="I9" s="291"/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291">
        <v>0</v>
      </c>
      <c r="P9" s="291">
        <v>4</v>
      </c>
      <c r="Q9" s="291">
        <v>20</v>
      </c>
      <c r="R9" s="291">
        <v>3440</v>
      </c>
      <c r="S9" s="291">
        <v>2</v>
      </c>
      <c r="T9" s="291">
        <v>10</v>
      </c>
      <c r="U9" s="291">
        <v>1720</v>
      </c>
      <c r="V9" s="291">
        <v>0</v>
      </c>
      <c r="W9" s="291">
        <v>0</v>
      </c>
      <c r="X9" s="291">
        <v>0</v>
      </c>
      <c r="Y9" s="291">
        <v>0</v>
      </c>
      <c r="Z9" s="291">
        <v>0</v>
      </c>
      <c r="AA9" s="291">
        <v>0</v>
      </c>
      <c r="AB9" s="291">
        <v>0</v>
      </c>
      <c r="AC9" s="291">
        <v>0</v>
      </c>
      <c r="AD9" s="291">
        <v>0</v>
      </c>
      <c r="AE9" s="291">
        <v>0</v>
      </c>
      <c r="AF9" s="291">
        <v>0</v>
      </c>
      <c r="AG9" s="291">
        <v>0</v>
      </c>
      <c r="AH9" s="291"/>
      <c r="AI9" s="291"/>
      <c r="AJ9" s="291"/>
      <c r="AK9" s="291"/>
      <c r="AL9" s="291"/>
      <c r="AM9" s="291">
        <v>2400</v>
      </c>
      <c r="AN9" s="291">
        <v>6</v>
      </c>
      <c r="AO9" s="292">
        <v>7560</v>
      </c>
      <c r="AP9" s="291"/>
      <c r="AQ9" s="291"/>
      <c r="AR9" s="291" t="s">
        <v>243</v>
      </c>
      <c r="AS9" s="291">
        <v>16556.8</v>
      </c>
      <c r="AT9" s="291">
        <v>8278.4</v>
      </c>
      <c r="AU9" s="291">
        <v>4139.2</v>
      </c>
      <c r="AV9" s="299">
        <v>16556.8</v>
      </c>
      <c r="AW9" s="300" t="s">
        <v>772</v>
      </c>
      <c r="AX9" s="305">
        <v>-6826.8</v>
      </c>
      <c r="AY9" s="306" t="s">
        <v>772</v>
      </c>
      <c r="AZ9" s="315">
        <v>-2170</v>
      </c>
      <c r="BA9" s="316" t="s">
        <v>772</v>
      </c>
      <c r="BB9" s="307"/>
      <c r="BC9" s="308"/>
      <c r="BD9" s="307"/>
      <c r="BE9" s="304"/>
      <c r="BF9" s="307"/>
      <c r="BG9" s="309"/>
      <c r="BH9" s="307"/>
      <c r="BI9" s="309"/>
      <c r="BJ9" s="307"/>
      <c r="BK9" s="309"/>
      <c r="BL9" s="307"/>
      <c r="BM9" s="309"/>
      <c r="BN9" s="307"/>
      <c r="BO9" s="309"/>
      <c r="BP9" s="307"/>
      <c r="BQ9" s="309"/>
      <c r="BR9" s="307"/>
      <c r="BS9" s="309"/>
      <c r="BT9" s="292">
        <f>IF('Daten 2021'!$AW9="x",'Daten 2021'!$AV9,0)+IF('Daten 2021'!$AY9="x",'Daten 2021'!$AX9,0)+IF('Daten 2021'!$BA9="x",'Daten 2021'!$AZ9,0)+IF('Daten 2021'!$BC9="x",'Daten 2021'!$BB9,0)+IF('Daten 2021'!$BE9="x",'Daten 2021'!$BD9,0)+IF('Daten 2021'!$BG9="x",'Daten 2021'!$BF9,0)+IF('Daten 2021'!$BI9="x",'Daten 2021'!$BH9,0)+IF('Daten 2021'!$BK9="x",'Daten 2021'!$BJ9,0)+IF('Daten 2021'!$BM9="x",'Daten 2021'!$BL9,0)+IF('Daten 2021'!$BO9="x",'Daten 2021'!$BN9,0)+IF('Daten 2021'!$BQ9="x",'Daten 2021'!$BP9,0)+IF('Daten 2021'!$BS9="x",'Daten 2021'!$BR9,0)</f>
        <v>7560</v>
      </c>
      <c r="BU9" s="291" t="s">
        <v>244</v>
      </c>
      <c r="BV9" s="291"/>
      <c r="BW9" s="291"/>
      <c r="BX9" s="291"/>
      <c r="BY9" s="291"/>
      <c r="BZ9" s="291"/>
    </row>
    <row r="10" spans="1:78" x14ac:dyDescent="0.3">
      <c r="A10" s="289" t="s">
        <v>19</v>
      </c>
      <c r="B10" s="291" t="s">
        <v>82</v>
      </c>
      <c r="C10" s="289" t="s">
        <v>144</v>
      </c>
      <c r="D10" s="289" t="s">
        <v>252</v>
      </c>
      <c r="E10" s="289" t="s">
        <v>432</v>
      </c>
      <c r="F10" s="289" t="s">
        <v>346</v>
      </c>
      <c r="G10" s="289"/>
      <c r="H10" s="289"/>
      <c r="I10" s="289"/>
      <c r="J10" s="289">
        <v>232</v>
      </c>
      <c r="K10" s="289">
        <v>37999</v>
      </c>
      <c r="L10" s="289">
        <v>558587.65999999992</v>
      </c>
      <c r="M10" s="289">
        <v>61</v>
      </c>
      <c r="N10" s="289">
        <v>11139</v>
      </c>
      <c r="O10" s="289">
        <v>217210</v>
      </c>
      <c r="P10" s="289">
        <v>0</v>
      </c>
      <c r="Q10" s="289">
        <v>0</v>
      </c>
      <c r="R10" s="289">
        <v>0</v>
      </c>
      <c r="S10" s="289">
        <v>0</v>
      </c>
      <c r="T10" s="289">
        <v>0</v>
      </c>
      <c r="U10" s="289">
        <v>0</v>
      </c>
      <c r="V10" s="289">
        <v>20</v>
      </c>
      <c r="W10" s="289">
        <v>8000</v>
      </c>
      <c r="X10" s="289">
        <v>30</v>
      </c>
      <c r="Y10" s="289">
        <v>8000</v>
      </c>
      <c r="Z10" s="289">
        <v>0</v>
      </c>
      <c r="AA10" s="289">
        <v>0</v>
      </c>
      <c r="AB10" s="289">
        <v>0</v>
      </c>
      <c r="AC10" s="289">
        <v>0</v>
      </c>
      <c r="AD10" s="289">
        <v>0</v>
      </c>
      <c r="AE10" s="289">
        <v>0</v>
      </c>
      <c r="AF10" s="289">
        <v>0</v>
      </c>
      <c r="AG10" s="289">
        <v>0</v>
      </c>
      <c r="AH10" s="289"/>
      <c r="AI10" s="289"/>
      <c r="AJ10" s="289"/>
      <c r="AK10" s="289"/>
      <c r="AL10" s="289"/>
      <c r="AM10" s="289">
        <v>84390</v>
      </c>
      <c r="AN10" s="289">
        <v>293</v>
      </c>
      <c r="AO10" s="290">
        <v>876187.65999999992</v>
      </c>
      <c r="AP10" s="289"/>
      <c r="AQ10" s="289"/>
      <c r="AR10" s="289" t="s">
        <v>253</v>
      </c>
      <c r="AS10" s="289">
        <v>566001.6</v>
      </c>
      <c r="AT10" s="289">
        <v>283000.8</v>
      </c>
      <c r="AU10" s="289">
        <v>141500.4</v>
      </c>
      <c r="AV10" s="299">
        <v>283000.8</v>
      </c>
      <c r="AW10" s="300" t="s">
        <v>772</v>
      </c>
      <c r="AX10" s="299">
        <v>283000.8</v>
      </c>
      <c r="AY10" s="301" t="s">
        <v>772</v>
      </c>
      <c r="AZ10" s="305">
        <v>118762.53</v>
      </c>
      <c r="BA10" s="306" t="s">
        <v>772</v>
      </c>
      <c r="BB10" s="305">
        <v>118762.53</v>
      </c>
      <c r="BC10" s="317" t="s">
        <v>772</v>
      </c>
      <c r="BD10" s="318">
        <v>72661</v>
      </c>
      <c r="BE10" s="319"/>
      <c r="BF10" s="307"/>
      <c r="BG10" s="309"/>
      <c r="BH10" s="307"/>
      <c r="BI10" s="309"/>
      <c r="BJ10" s="307"/>
      <c r="BK10" s="309"/>
      <c r="BL10" s="307"/>
      <c r="BM10" s="309"/>
      <c r="BN10" s="307"/>
      <c r="BO10" s="309"/>
      <c r="BP10" s="307"/>
      <c r="BQ10" s="309"/>
      <c r="BR10" s="307"/>
      <c r="BS10" s="309"/>
      <c r="BT10" s="290">
        <f>IF('Daten 2021'!$AW10="x",'Daten 2021'!$AV10,0)+IF('Daten 2021'!$AY10="x",'Daten 2021'!$AX10,0)+IF('Daten 2021'!$BA10="x",'Daten 2021'!$AZ10,0)+IF('Daten 2021'!$BC10="x",'Daten 2021'!$BB10,0)+IF('Daten 2021'!$BE10="x",'Daten 2021'!$BD10,0)+IF('Daten 2021'!$BG10="x",'Daten 2021'!$BF10,0)+IF('Daten 2021'!$BI10="x",'Daten 2021'!$BH10,0)+IF('Daten 2021'!$BK10="x",'Daten 2021'!$BJ10,0)+IF('Daten 2021'!$BM10="x",'Daten 2021'!$BL10,0)+IF('Daten 2021'!$BO10="x",'Daten 2021'!$BN10,0)+IF('Daten 2021'!$BQ10="x",'Daten 2021'!$BP10,0)+IF('Daten 2021'!$BS10="x",'Daten 2021'!$BR10,0)</f>
        <v>803526.66</v>
      </c>
      <c r="BU10" s="289" t="s">
        <v>244</v>
      </c>
      <c r="BV10" s="289"/>
      <c r="BW10" s="289"/>
      <c r="BX10" s="289"/>
      <c r="BY10" s="289"/>
      <c r="BZ10" s="289"/>
    </row>
    <row r="11" spans="1:78" x14ac:dyDescent="0.3">
      <c r="A11" s="291" t="s">
        <v>20</v>
      </c>
      <c r="B11" s="291" t="s">
        <v>83</v>
      </c>
      <c r="C11" s="291" t="s">
        <v>145</v>
      </c>
      <c r="D11" s="291" t="s">
        <v>254</v>
      </c>
      <c r="E11" s="291" t="s">
        <v>433</v>
      </c>
      <c r="F11" s="291" t="s">
        <v>347</v>
      </c>
      <c r="G11" s="291"/>
      <c r="H11" s="291"/>
      <c r="I11" s="291"/>
      <c r="J11" s="291">
        <v>82</v>
      </c>
      <c r="K11" s="291">
        <v>16979</v>
      </c>
      <c r="L11" s="291">
        <v>249592.66999999998</v>
      </c>
      <c r="M11" s="291">
        <v>32</v>
      </c>
      <c r="N11" s="291">
        <v>3722</v>
      </c>
      <c r="O11" s="291">
        <v>72575</v>
      </c>
      <c r="P11" s="291">
        <v>0</v>
      </c>
      <c r="Q11" s="291">
        <v>0</v>
      </c>
      <c r="R11" s="291">
        <v>0</v>
      </c>
      <c r="S11" s="291">
        <v>0</v>
      </c>
      <c r="T11" s="291">
        <v>0</v>
      </c>
      <c r="U11" s="291">
        <v>0</v>
      </c>
      <c r="V11" s="291">
        <v>15</v>
      </c>
      <c r="W11" s="291">
        <v>6000</v>
      </c>
      <c r="X11" s="291">
        <v>0</v>
      </c>
      <c r="Y11" s="291">
        <v>0</v>
      </c>
      <c r="Z11" s="291">
        <v>0</v>
      </c>
      <c r="AA11" s="291">
        <v>0</v>
      </c>
      <c r="AB11" s="291">
        <v>0</v>
      </c>
      <c r="AC11" s="291">
        <v>0</v>
      </c>
      <c r="AD11" s="291">
        <v>0</v>
      </c>
      <c r="AE11" s="291">
        <v>0</v>
      </c>
      <c r="AF11" s="291">
        <v>0</v>
      </c>
      <c r="AG11" s="291">
        <v>0</v>
      </c>
      <c r="AH11" s="291"/>
      <c r="AI11" s="291"/>
      <c r="AJ11" s="291"/>
      <c r="AK11" s="291"/>
      <c r="AL11" s="291"/>
      <c r="AM11" s="291">
        <v>43220</v>
      </c>
      <c r="AN11" s="291">
        <v>114</v>
      </c>
      <c r="AO11" s="292">
        <v>371387.67</v>
      </c>
      <c r="AP11" s="291"/>
      <c r="AQ11" s="291"/>
      <c r="AR11" s="291" t="s">
        <v>243</v>
      </c>
      <c r="AS11" s="291">
        <v>290408</v>
      </c>
      <c r="AT11" s="291">
        <v>145204</v>
      </c>
      <c r="AU11" s="291">
        <v>72602</v>
      </c>
      <c r="AV11" s="299">
        <v>290408</v>
      </c>
      <c r="AW11" s="300" t="s">
        <v>772</v>
      </c>
      <c r="AX11" s="305">
        <v>6702.1359999999877</v>
      </c>
      <c r="AY11" s="306" t="s">
        <v>772</v>
      </c>
      <c r="AZ11" s="320">
        <v>74277.533999999985</v>
      </c>
      <c r="BA11" s="306" t="s">
        <v>772</v>
      </c>
      <c r="BB11" s="307"/>
      <c r="BC11" s="308"/>
      <c r="BD11" s="307"/>
      <c r="BE11" s="304"/>
      <c r="BF11" s="307"/>
      <c r="BG11" s="309"/>
      <c r="BH11" s="307"/>
      <c r="BI11" s="309"/>
      <c r="BJ11" s="307"/>
      <c r="BK11" s="309"/>
      <c r="BL11" s="307"/>
      <c r="BM11" s="309"/>
      <c r="BN11" s="307"/>
      <c r="BO11" s="309"/>
      <c r="BP11" s="307"/>
      <c r="BQ11" s="309"/>
      <c r="BR11" s="307"/>
      <c r="BS11" s="309"/>
      <c r="BT11" s="292">
        <f>IF('Daten 2021'!$AW11="x",'Daten 2021'!$AV11,0)+IF('Daten 2021'!$AY11="x",'Daten 2021'!$AX11,0)+IF('Daten 2021'!$BA11="x",'Daten 2021'!$AZ11,0)+IF('Daten 2021'!$BC11="x",'Daten 2021'!$BB11,0)+IF('Daten 2021'!$BE11="x",'Daten 2021'!$BD11,0)+IF('Daten 2021'!$BG11="x",'Daten 2021'!$BF11,0)+IF('Daten 2021'!$BI11="x",'Daten 2021'!$BH11,0)+IF('Daten 2021'!$BK11="x",'Daten 2021'!$BJ11,0)+IF('Daten 2021'!$BM11="x",'Daten 2021'!$BL11,0)+IF('Daten 2021'!$BO11="x",'Daten 2021'!$BN11,0)+IF('Daten 2021'!$BQ11="x",'Daten 2021'!$BP11,0)+IF('Daten 2021'!$BS11="x",'Daten 2021'!$BR11,0)</f>
        <v>371387.67</v>
      </c>
      <c r="BU11" s="291" t="s">
        <v>244</v>
      </c>
      <c r="BV11" s="291"/>
      <c r="BW11" s="291"/>
      <c r="BX11" s="291"/>
      <c r="BY11" s="291"/>
      <c r="BZ11" s="291"/>
    </row>
    <row r="12" spans="1:78" x14ac:dyDescent="0.3">
      <c r="A12" s="289" t="s">
        <v>21</v>
      </c>
      <c r="B12" s="291" t="s">
        <v>84</v>
      </c>
      <c r="C12" s="289" t="s">
        <v>146</v>
      </c>
      <c r="D12" s="289" t="s">
        <v>255</v>
      </c>
      <c r="E12" s="289" t="s">
        <v>434</v>
      </c>
      <c r="F12" s="289" t="s">
        <v>348</v>
      </c>
      <c r="G12" s="289"/>
      <c r="H12" s="289"/>
      <c r="I12" s="289"/>
      <c r="J12" s="289">
        <v>12</v>
      </c>
      <c r="K12" s="289">
        <v>1556</v>
      </c>
      <c r="L12" s="289">
        <v>23718</v>
      </c>
      <c r="M12" s="289">
        <v>3</v>
      </c>
      <c r="N12" s="289">
        <v>360</v>
      </c>
      <c r="O12" s="289">
        <v>7020</v>
      </c>
      <c r="P12" s="289">
        <v>17</v>
      </c>
      <c r="Q12" s="289">
        <v>85</v>
      </c>
      <c r="R12" s="289">
        <v>14620</v>
      </c>
      <c r="S12" s="289">
        <v>4</v>
      </c>
      <c r="T12" s="289">
        <v>20</v>
      </c>
      <c r="U12" s="289">
        <v>3440</v>
      </c>
      <c r="V12" s="289">
        <v>0</v>
      </c>
      <c r="W12" s="289">
        <v>0</v>
      </c>
      <c r="X12" s="289">
        <v>0</v>
      </c>
      <c r="Y12" s="289">
        <v>0</v>
      </c>
      <c r="Z12" s="289">
        <v>0</v>
      </c>
      <c r="AA12" s="289">
        <v>0</v>
      </c>
      <c r="AB12" s="289">
        <v>0</v>
      </c>
      <c r="AC12" s="289">
        <v>0</v>
      </c>
      <c r="AD12" s="289">
        <v>0</v>
      </c>
      <c r="AE12" s="289">
        <v>0</v>
      </c>
      <c r="AF12" s="289">
        <v>0</v>
      </c>
      <c r="AG12" s="289">
        <v>0</v>
      </c>
      <c r="AH12" s="289"/>
      <c r="AI12" s="289"/>
      <c r="AJ12" s="289"/>
      <c r="AK12" s="289"/>
      <c r="AL12" s="289"/>
      <c r="AM12" s="289">
        <v>14400</v>
      </c>
      <c r="AN12" s="289">
        <v>36</v>
      </c>
      <c r="AO12" s="290">
        <v>63198</v>
      </c>
      <c r="AP12" s="289"/>
      <c r="AQ12" s="289"/>
      <c r="AR12" s="289" t="s">
        <v>243</v>
      </c>
      <c r="AS12" s="289">
        <v>50558.400000000001</v>
      </c>
      <c r="AT12" s="289">
        <v>25279.200000000001</v>
      </c>
      <c r="AU12" s="289">
        <v>12639.6</v>
      </c>
      <c r="AV12" s="299">
        <v>50558.400000000001</v>
      </c>
      <c r="AW12" s="300" t="s">
        <v>772</v>
      </c>
      <c r="AX12" s="299">
        <v>12639.599999999999</v>
      </c>
      <c r="AY12" s="301"/>
      <c r="AZ12" s="307"/>
      <c r="BA12" s="303"/>
      <c r="BB12" s="307"/>
      <c r="BC12" s="308"/>
      <c r="BD12" s="307"/>
      <c r="BE12" s="304"/>
      <c r="BF12" s="307"/>
      <c r="BG12" s="309"/>
      <c r="BH12" s="307"/>
      <c r="BI12" s="309"/>
      <c r="BJ12" s="307"/>
      <c r="BK12" s="309"/>
      <c r="BL12" s="307"/>
      <c r="BM12" s="309"/>
      <c r="BN12" s="307"/>
      <c r="BO12" s="309"/>
      <c r="BP12" s="307"/>
      <c r="BQ12" s="309"/>
      <c r="BR12" s="307"/>
      <c r="BS12" s="309"/>
      <c r="BT12" s="290">
        <f>IF('Daten 2021'!$AW12="x",'Daten 2021'!$AV12,0)+IF('Daten 2021'!$AY12="x",'Daten 2021'!$AX12,0)+IF('Daten 2021'!$BA12="x",'Daten 2021'!$AZ12,0)+IF('Daten 2021'!$BC12="x",'Daten 2021'!$BB12,0)+IF('Daten 2021'!$BE12="x",'Daten 2021'!$BD12,0)+IF('Daten 2021'!$BG12="x",'Daten 2021'!$BF12,0)+IF('Daten 2021'!$BI12="x",'Daten 2021'!$BH12,0)+IF('Daten 2021'!$BK12="x",'Daten 2021'!$BJ12,0)+IF('Daten 2021'!$BM12="x",'Daten 2021'!$BL12,0)+IF('Daten 2021'!$BO12="x",'Daten 2021'!$BN12,0)+IF('Daten 2021'!$BQ12="x",'Daten 2021'!$BP12,0)+IF('Daten 2021'!$BS12="x",'Daten 2021'!$BR12,0)</f>
        <v>50558.400000000001</v>
      </c>
      <c r="BU12" s="289" t="s">
        <v>244</v>
      </c>
      <c r="BV12" s="289"/>
      <c r="BW12" s="289"/>
      <c r="BX12" s="289"/>
      <c r="BY12" s="289"/>
      <c r="BZ12" s="289"/>
    </row>
    <row r="13" spans="1:78" x14ac:dyDescent="0.3">
      <c r="A13" s="291" t="s">
        <v>22</v>
      </c>
      <c r="B13" s="291" t="s">
        <v>85</v>
      </c>
      <c r="C13" s="291" t="s">
        <v>147</v>
      </c>
      <c r="D13" s="291" t="s">
        <v>256</v>
      </c>
      <c r="E13" s="291" t="s">
        <v>435</v>
      </c>
      <c r="F13" s="291" t="s">
        <v>349</v>
      </c>
      <c r="G13" s="291"/>
      <c r="H13" s="291"/>
      <c r="I13" s="291"/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11</v>
      </c>
      <c r="Q13" s="291">
        <v>55</v>
      </c>
      <c r="R13" s="291">
        <v>9460</v>
      </c>
      <c r="S13" s="291">
        <v>17</v>
      </c>
      <c r="T13" s="291">
        <v>85</v>
      </c>
      <c r="U13" s="291">
        <v>14620</v>
      </c>
      <c r="V13" s="291">
        <v>0</v>
      </c>
      <c r="W13" s="291">
        <v>0</v>
      </c>
      <c r="X13" s="291">
        <v>0</v>
      </c>
      <c r="Y13" s="291">
        <v>0</v>
      </c>
      <c r="Z13" s="291">
        <v>0</v>
      </c>
      <c r="AA13" s="291">
        <v>0</v>
      </c>
      <c r="AB13" s="291">
        <v>0</v>
      </c>
      <c r="AC13" s="291">
        <v>0</v>
      </c>
      <c r="AD13" s="291">
        <v>0</v>
      </c>
      <c r="AE13" s="291">
        <v>0</v>
      </c>
      <c r="AF13" s="291">
        <v>0</v>
      </c>
      <c r="AG13" s="291">
        <v>0</v>
      </c>
      <c r="AH13" s="291"/>
      <c r="AI13" s="291"/>
      <c r="AJ13" s="291"/>
      <c r="AK13" s="291"/>
      <c r="AL13" s="291"/>
      <c r="AM13" s="291">
        <v>11200</v>
      </c>
      <c r="AN13" s="291">
        <v>28</v>
      </c>
      <c r="AO13" s="292">
        <v>35280</v>
      </c>
      <c r="AP13" s="291"/>
      <c r="AQ13" s="291"/>
      <c r="AR13" s="291" t="s">
        <v>243</v>
      </c>
      <c r="AS13" s="291">
        <v>28224</v>
      </c>
      <c r="AT13" s="291">
        <v>14112</v>
      </c>
      <c r="AU13" s="291">
        <v>7056</v>
      </c>
      <c r="AV13" s="299">
        <v>28224</v>
      </c>
      <c r="AW13" s="300" t="s">
        <v>772</v>
      </c>
      <c r="AX13" s="299">
        <v>7056</v>
      </c>
      <c r="AY13" s="301"/>
      <c r="AZ13" s="307"/>
      <c r="BA13" s="303"/>
      <c r="BB13" s="307"/>
      <c r="BC13" s="308"/>
      <c r="BD13" s="307"/>
      <c r="BE13" s="304"/>
      <c r="BF13" s="307"/>
      <c r="BG13" s="309"/>
      <c r="BH13" s="307"/>
      <c r="BI13" s="309"/>
      <c r="BJ13" s="307"/>
      <c r="BK13" s="309"/>
      <c r="BL13" s="307"/>
      <c r="BM13" s="309"/>
      <c r="BN13" s="307"/>
      <c r="BO13" s="309"/>
      <c r="BP13" s="307"/>
      <c r="BQ13" s="309"/>
      <c r="BR13" s="307"/>
      <c r="BS13" s="309"/>
      <c r="BT13" s="292">
        <f>IF('Daten 2021'!$AW13="x",'Daten 2021'!$AV13,0)+IF('Daten 2021'!$AY13="x",'Daten 2021'!$AX13,0)+IF('Daten 2021'!$BA13="x",'Daten 2021'!$AZ13,0)+IF('Daten 2021'!$BC13="x",'Daten 2021'!$BB13,0)+IF('Daten 2021'!$BE13="x",'Daten 2021'!$BD13,0)+IF('Daten 2021'!$BG13="x",'Daten 2021'!$BF13,0)+IF('Daten 2021'!$BI13="x",'Daten 2021'!$BH13,0)+IF('Daten 2021'!$BK13="x",'Daten 2021'!$BJ13,0)+IF('Daten 2021'!$BM13="x",'Daten 2021'!$BL13,0)+IF('Daten 2021'!$BO13="x",'Daten 2021'!$BN13,0)+IF('Daten 2021'!$BQ13="x",'Daten 2021'!$BP13,0)+IF('Daten 2021'!$BS13="x",'Daten 2021'!$BR13,0)</f>
        <v>28224</v>
      </c>
      <c r="BU13" s="291" t="s">
        <v>244</v>
      </c>
      <c r="BV13" s="291"/>
      <c r="BW13" s="291"/>
      <c r="BX13" s="291"/>
      <c r="BY13" s="291"/>
      <c r="BZ13" s="291"/>
    </row>
    <row r="14" spans="1:78" x14ac:dyDescent="0.3">
      <c r="A14" s="289" t="s">
        <v>23</v>
      </c>
      <c r="B14" s="291" t="s">
        <v>805</v>
      </c>
      <c r="C14" s="289" t="s">
        <v>148</v>
      </c>
      <c r="D14" s="289" t="s">
        <v>257</v>
      </c>
      <c r="E14" s="289" t="s">
        <v>436</v>
      </c>
      <c r="F14" s="289" t="s">
        <v>350</v>
      </c>
      <c r="G14" s="293"/>
      <c r="H14" s="293"/>
      <c r="I14" s="293"/>
      <c r="J14" s="289">
        <v>12</v>
      </c>
      <c r="K14" s="289">
        <v>1684</v>
      </c>
      <c r="L14" s="289">
        <v>24762</v>
      </c>
      <c r="M14" s="289">
        <v>4</v>
      </c>
      <c r="N14" s="289">
        <v>652</v>
      </c>
      <c r="O14" s="289">
        <v>12714</v>
      </c>
      <c r="P14" s="289">
        <v>2</v>
      </c>
      <c r="Q14" s="289">
        <v>1</v>
      </c>
      <c r="R14" s="289">
        <v>600</v>
      </c>
      <c r="S14" s="289">
        <v>2</v>
      </c>
      <c r="T14" s="289">
        <v>3</v>
      </c>
      <c r="U14" s="289">
        <v>860</v>
      </c>
      <c r="V14" s="289">
        <v>0</v>
      </c>
      <c r="W14" s="289">
        <v>0</v>
      </c>
      <c r="X14" s="289">
        <v>0</v>
      </c>
      <c r="Y14" s="289">
        <v>0</v>
      </c>
      <c r="Z14" s="289">
        <v>0</v>
      </c>
      <c r="AA14" s="289">
        <v>0</v>
      </c>
      <c r="AB14" s="289">
        <v>0</v>
      </c>
      <c r="AC14" s="289">
        <v>0</v>
      </c>
      <c r="AD14" s="289">
        <v>0</v>
      </c>
      <c r="AE14" s="289">
        <v>0</v>
      </c>
      <c r="AF14" s="289">
        <v>0</v>
      </c>
      <c r="AG14" s="289">
        <v>0</v>
      </c>
      <c r="AH14" s="289"/>
      <c r="AI14" s="289"/>
      <c r="AJ14" s="289"/>
      <c r="AK14" s="289"/>
      <c r="AL14" s="289"/>
      <c r="AM14" s="289">
        <v>8000</v>
      </c>
      <c r="AN14" s="289">
        <v>20</v>
      </c>
      <c r="AO14" s="290">
        <v>46936</v>
      </c>
      <c r="AP14" s="289"/>
      <c r="AQ14" s="289"/>
      <c r="AR14" s="289" t="s">
        <v>243</v>
      </c>
      <c r="AS14" s="289">
        <v>29313.600000000002</v>
      </c>
      <c r="AT14" s="289">
        <v>14656.800000000001</v>
      </c>
      <c r="AU14" s="289">
        <v>7328.4000000000005</v>
      </c>
      <c r="AV14" s="299">
        <v>29313.599999999999</v>
      </c>
      <c r="AW14" s="300" t="s">
        <v>772</v>
      </c>
      <c r="AX14" s="305">
        <v>1808</v>
      </c>
      <c r="AY14" s="306" t="s">
        <v>772</v>
      </c>
      <c r="AZ14" s="321">
        <v>7780.4000000000015</v>
      </c>
      <c r="BA14" s="306" t="s">
        <v>772</v>
      </c>
      <c r="BB14" s="322">
        <v>6427.2</v>
      </c>
      <c r="BC14" s="323" t="s">
        <v>772</v>
      </c>
      <c r="BD14" s="322">
        <v>1606.7999999999993</v>
      </c>
      <c r="BE14" s="324"/>
      <c r="BF14" s="307"/>
      <c r="BG14" s="309"/>
      <c r="BH14" s="307"/>
      <c r="BI14" s="309"/>
      <c r="BJ14" s="307"/>
      <c r="BK14" s="309"/>
      <c r="BL14" s="307"/>
      <c r="BM14" s="309"/>
      <c r="BN14" s="307"/>
      <c r="BO14" s="309"/>
      <c r="BP14" s="307"/>
      <c r="BQ14" s="309"/>
      <c r="BR14" s="307"/>
      <c r="BS14" s="309"/>
      <c r="BT14" s="290">
        <f>IF('Daten 2021'!$AW14="x",'Daten 2021'!$AV14,0)+IF('Daten 2021'!$AY14="x",'Daten 2021'!$AX14,0)+IF('Daten 2021'!$BA14="x",'Daten 2021'!$AZ14,0)+IF('Daten 2021'!$BC14="x",'Daten 2021'!$BB14,0)+IF('Daten 2021'!$BE14="x",'Daten 2021'!$BD14,0)+IF('Daten 2021'!$BG14="x",'Daten 2021'!$BF14,0)+IF('Daten 2021'!$BI14="x",'Daten 2021'!$BH14,0)+IF('Daten 2021'!$BK14="x",'Daten 2021'!$BJ14,0)+IF('Daten 2021'!$BM14="x",'Daten 2021'!$BL14,0)+IF('Daten 2021'!$BO14="x",'Daten 2021'!$BN14,0)+IF('Daten 2021'!$BQ14="x",'Daten 2021'!$BP14,0)+IF('Daten 2021'!$BS14="x",'Daten 2021'!$BR14,0)</f>
        <v>45329.2</v>
      </c>
      <c r="BU14" s="289" t="s">
        <v>244</v>
      </c>
      <c r="BV14" s="289"/>
      <c r="BW14" s="289"/>
      <c r="BX14" s="289"/>
      <c r="BY14" s="289"/>
      <c r="BZ14" s="289"/>
    </row>
    <row r="15" spans="1:78" s="30" customFormat="1" x14ac:dyDescent="0.3">
      <c r="A15" s="348" t="s">
        <v>24</v>
      </c>
      <c r="B15" s="291" t="s">
        <v>119</v>
      </c>
      <c r="C15" s="348" t="s">
        <v>149</v>
      </c>
      <c r="D15" s="348" t="s">
        <v>258</v>
      </c>
      <c r="E15" s="348" t="s">
        <v>437</v>
      </c>
      <c r="F15" s="348" t="s">
        <v>407</v>
      </c>
      <c r="G15" s="349"/>
      <c r="H15" s="350" t="s">
        <v>406</v>
      </c>
      <c r="I15" s="349"/>
      <c r="J15" s="348">
        <v>138</v>
      </c>
      <c r="K15" s="348">
        <v>24275</v>
      </c>
      <c r="L15" s="348">
        <v>356842</v>
      </c>
      <c r="M15" s="348">
        <v>160</v>
      </c>
      <c r="N15" s="348">
        <v>16451</v>
      </c>
      <c r="O15" s="348">
        <v>320801.5</v>
      </c>
      <c r="P15" s="348">
        <v>9</v>
      </c>
      <c r="Q15" s="348">
        <v>-20</v>
      </c>
      <c r="R15" s="348">
        <v>0</v>
      </c>
      <c r="S15" s="348">
        <v>9</v>
      </c>
      <c r="T15" s="348">
        <v>-20</v>
      </c>
      <c r="U15" s="348">
        <v>0</v>
      </c>
      <c r="V15" s="348">
        <v>20</v>
      </c>
      <c r="W15" s="348">
        <v>8000</v>
      </c>
      <c r="X15" s="348">
        <v>20</v>
      </c>
      <c r="Y15" s="348">
        <v>8000</v>
      </c>
      <c r="Z15" s="348">
        <v>20</v>
      </c>
      <c r="AA15" s="348">
        <v>8000</v>
      </c>
      <c r="AB15" s="348">
        <v>20</v>
      </c>
      <c r="AC15" s="348">
        <v>8000</v>
      </c>
      <c r="AD15" s="348">
        <v>0</v>
      </c>
      <c r="AE15" s="348">
        <v>0</v>
      </c>
      <c r="AF15" s="289">
        <v>0</v>
      </c>
      <c r="AG15" s="289">
        <v>0</v>
      </c>
      <c r="AH15" s="348"/>
      <c r="AI15" s="348"/>
      <c r="AJ15" s="348"/>
      <c r="AK15" s="348"/>
      <c r="AL15" s="348"/>
      <c r="AM15" s="348">
        <v>89680</v>
      </c>
      <c r="AN15" s="348">
        <v>316</v>
      </c>
      <c r="AO15" s="351">
        <v>799323.5</v>
      </c>
      <c r="AP15" s="348"/>
      <c r="AQ15" s="348"/>
      <c r="AR15" s="348" t="s">
        <v>253</v>
      </c>
      <c r="AS15" s="348">
        <v>590211.20000000007</v>
      </c>
      <c r="AT15" s="348">
        <v>295105.60000000003</v>
      </c>
      <c r="AU15" s="348">
        <v>147552.80000000002</v>
      </c>
      <c r="AV15" s="325">
        <v>295105.59999999998</v>
      </c>
      <c r="AW15" s="301" t="s">
        <v>772</v>
      </c>
      <c r="AX15" s="325">
        <v>295105.60000000003</v>
      </c>
      <c r="AY15" s="301" t="s">
        <v>772</v>
      </c>
      <c r="AZ15" s="325">
        <v>147552.80000000005</v>
      </c>
      <c r="BA15" s="301" t="s">
        <v>772</v>
      </c>
      <c r="BB15" s="315">
        <v>24623.8</v>
      </c>
      <c r="BC15" s="316" t="s">
        <v>772</v>
      </c>
      <c r="BD15" s="315">
        <v>24623.8</v>
      </c>
      <c r="BE15" s="326"/>
      <c r="BF15" s="315">
        <v>12311.899999999954</v>
      </c>
      <c r="BG15" s="326"/>
      <c r="BH15" s="307"/>
      <c r="BI15" s="309"/>
      <c r="BJ15" s="307"/>
      <c r="BK15" s="309"/>
      <c r="BL15" s="307"/>
      <c r="BM15" s="309"/>
      <c r="BN15" s="307"/>
      <c r="BO15" s="309"/>
      <c r="BP15" s="307"/>
      <c r="BQ15" s="309"/>
      <c r="BR15" s="307"/>
      <c r="BS15" s="309"/>
      <c r="BT15" s="351">
        <f>IF('Daten 2021'!$AW15="x",'Daten 2021'!$AV15,0)+IF('Daten 2021'!$AY15="x",'Daten 2021'!$AX15,0)+IF('Daten 2021'!$BA15="x",'Daten 2021'!$AZ15,0)+IF('Daten 2021'!$BC15="x",'Daten 2021'!$BB15,0)+IF('Daten 2021'!$BE15="x",'Daten 2021'!$BD15,0)+IF('Daten 2021'!$BG15="x",'Daten 2021'!$BF15,0)+IF('Daten 2021'!$BI15="x",'Daten 2021'!$BH15,0)+IF('Daten 2021'!$BK15="x",'Daten 2021'!$BJ15,0)+IF('Daten 2021'!$BM15="x",'Daten 2021'!$BL15,0)+IF('Daten 2021'!$BO15="x",'Daten 2021'!$BN15,0)+IF('Daten 2021'!$BQ15="x",'Daten 2021'!$BP15,0)+IF('Daten 2021'!$BS15="x",'Daten 2021'!$BR15,0)</f>
        <v>762387.8</v>
      </c>
      <c r="BU15" s="348" t="s">
        <v>244</v>
      </c>
      <c r="BV15" s="348"/>
      <c r="BW15" s="348"/>
      <c r="BX15" s="348"/>
      <c r="BY15" s="348"/>
      <c r="BZ15" s="348"/>
    </row>
    <row r="16" spans="1:78" x14ac:dyDescent="0.3">
      <c r="A16" s="289" t="s">
        <v>25</v>
      </c>
      <c r="B16" s="291" t="s">
        <v>86</v>
      </c>
      <c r="C16" s="289" t="s">
        <v>150</v>
      </c>
      <c r="D16" s="289" t="s">
        <v>259</v>
      </c>
      <c r="E16" s="289" t="s">
        <v>438</v>
      </c>
      <c r="F16" s="289" t="s">
        <v>409</v>
      </c>
      <c r="G16" s="289"/>
      <c r="H16" s="289" t="s">
        <v>408</v>
      </c>
      <c r="I16" s="289"/>
      <c r="J16" s="289">
        <v>5</v>
      </c>
      <c r="K16" s="289">
        <v>913</v>
      </c>
      <c r="L16" s="289">
        <v>13428</v>
      </c>
      <c r="M16" s="289">
        <v>18</v>
      </c>
      <c r="N16" s="289">
        <v>2207</v>
      </c>
      <c r="O16" s="289">
        <v>43040</v>
      </c>
      <c r="P16" s="289">
        <v>4</v>
      </c>
      <c r="Q16" s="289">
        <v>25</v>
      </c>
      <c r="R16" s="289">
        <v>4000</v>
      </c>
      <c r="S16" s="289">
        <v>3</v>
      </c>
      <c r="T16" s="289">
        <v>23</v>
      </c>
      <c r="U16" s="289">
        <v>3500</v>
      </c>
      <c r="V16" s="289">
        <v>0</v>
      </c>
      <c r="W16" s="289">
        <v>0</v>
      </c>
      <c r="X16" s="289">
        <v>0</v>
      </c>
      <c r="Y16" s="289">
        <v>0</v>
      </c>
      <c r="Z16" s="289">
        <v>0</v>
      </c>
      <c r="AA16" s="289">
        <v>0</v>
      </c>
      <c r="AB16" s="289">
        <v>0</v>
      </c>
      <c r="AC16" s="289">
        <v>0</v>
      </c>
      <c r="AD16" s="289">
        <v>0</v>
      </c>
      <c r="AE16" s="289">
        <v>0</v>
      </c>
      <c r="AF16" s="289">
        <v>0</v>
      </c>
      <c r="AG16" s="289">
        <v>0</v>
      </c>
      <c r="AH16" s="289"/>
      <c r="AI16" s="289"/>
      <c r="AJ16" s="289"/>
      <c r="AK16" s="289"/>
      <c r="AL16" s="289"/>
      <c r="AM16" s="289">
        <v>12000</v>
      </c>
      <c r="AN16" s="289">
        <v>30</v>
      </c>
      <c r="AO16" s="290">
        <v>75968</v>
      </c>
      <c r="AP16" s="289"/>
      <c r="AQ16" s="289"/>
      <c r="AR16" s="289" t="s">
        <v>243</v>
      </c>
      <c r="AS16" s="289">
        <v>62694.400000000001</v>
      </c>
      <c r="AT16" s="289">
        <v>31347.200000000001</v>
      </c>
      <c r="AU16" s="289">
        <v>15673.6</v>
      </c>
      <c r="AV16" s="299">
        <v>62694.400000000001</v>
      </c>
      <c r="AW16" s="300" t="s">
        <v>772</v>
      </c>
      <c r="AX16" s="305">
        <v>13273.599999999999</v>
      </c>
      <c r="AY16" s="306"/>
      <c r="AZ16" s="307"/>
      <c r="BA16" s="303"/>
      <c r="BB16" s="307"/>
      <c r="BC16" s="308"/>
      <c r="BD16" s="307"/>
      <c r="BE16" s="304"/>
      <c r="BF16" s="307"/>
      <c r="BG16" s="309"/>
      <c r="BH16" s="307"/>
      <c r="BI16" s="309"/>
      <c r="BJ16" s="307"/>
      <c r="BK16" s="309"/>
      <c r="BL16" s="307"/>
      <c r="BM16" s="309"/>
      <c r="BN16" s="307"/>
      <c r="BO16" s="309"/>
      <c r="BP16" s="307"/>
      <c r="BQ16" s="309"/>
      <c r="BR16" s="307"/>
      <c r="BS16" s="309"/>
      <c r="BT16" s="290">
        <f>IF('Daten 2021'!$AW16="x",'Daten 2021'!$AV16,0)+IF('Daten 2021'!$AY16="x",'Daten 2021'!$AX16,0)+IF('Daten 2021'!$BA16="x",'Daten 2021'!$AZ16,0)+IF('Daten 2021'!$BC16="x",'Daten 2021'!$BB16,0)+IF('Daten 2021'!$BE16="x",'Daten 2021'!$BD16,0)+IF('Daten 2021'!$BG16="x",'Daten 2021'!$BF16,0)+IF('Daten 2021'!$BI16="x",'Daten 2021'!$BH16,0)+IF('Daten 2021'!$BK16="x",'Daten 2021'!$BJ16,0)+IF('Daten 2021'!$BM16="x",'Daten 2021'!$BL16,0)+IF('Daten 2021'!$BO16="x",'Daten 2021'!$BN16,0)+IF('Daten 2021'!$BQ16="x",'Daten 2021'!$BP16,0)+IF('Daten 2021'!$BS16="x",'Daten 2021'!$BR16,0)</f>
        <v>62694.400000000001</v>
      </c>
      <c r="BU16" s="289" t="s">
        <v>244</v>
      </c>
      <c r="BV16" s="289"/>
      <c r="BW16" s="289"/>
      <c r="BX16" s="289"/>
      <c r="BY16" s="289"/>
      <c r="BZ16" s="289"/>
    </row>
    <row r="17" spans="1:78" x14ac:dyDescent="0.3">
      <c r="A17" s="291" t="s">
        <v>26</v>
      </c>
      <c r="B17" s="291" t="s">
        <v>87</v>
      </c>
      <c r="C17" s="291" t="s">
        <v>151</v>
      </c>
      <c r="D17" s="291" t="s">
        <v>260</v>
      </c>
      <c r="E17" s="291" t="s">
        <v>439</v>
      </c>
      <c r="F17" s="291" t="s">
        <v>351</v>
      </c>
      <c r="G17" s="291"/>
      <c r="H17" s="291"/>
      <c r="I17" s="291"/>
      <c r="J17" s="291">
        <v>31</v>
      </c>
      <c r="K17" s="291">
        <v>5168</v>
      </c>
      <c r="L17" s="291">
        <v>75968.67</v>
      </c>
      <c r="M17" s="291">
        <v>19</v>
      </c>
      <c r="N17" s="291">
        <v>2176</v>
      </c>
      <c r="O17" s="291">
        <v>42423.33</v>
      </c>
      <c r="P17" s="291">
        <v>3</v>
      </c>
      <c r="Q17" s="291">
        <v>15</v>
      </c>
      <c r="R17" s="291">
        <v>2580</v>
      </c>
      <c r="S17" s="291">
        <v>8</v>
      </c>
      <c r="T17" s="291">
        <v>40</v>
      </c>
      <c r="U17" s="291">
        <v>6880</v>
      </c>
      <c r="V17" s="291">
        <v>0</v>
      </c>
      <c r="W17" s="291">
        <v>0</v>
      </c>
      <c r="X17" s="291">
        <v>0</v>
      </c>
      <c r="Y17" s="291">
        <v>0</v>
      </c>
      <c r="Z17" s="291">
        <v>0</v>
      </c>
      <c r="AA17" s="291">
        <v>0</v>
      </c>
      <c r="AB17" s="291">
        <v>0</v>
      </c>
      <c r="AC17" s="291">
        <v>0</v>
      </c>
      <c r="AD17" s="291">
        <v>0</v>
      </c>
      <c r="AE17" s="291">
        <v>0</v>
      </c>
      <c r="AF17" s="291">
        <v>0</v>
      </c>
      <c r="AG17" s="291">
        <v>0</v>
      </c>
      <c r="AH17" s="291"/>
      <c r="AI17" s="291"/>
      <c r="AJ17" s="291"/>
      <c r="AK17" s="291"/>
      <c r="AL17" s="291"/>
      <c r="AM17" s="291">
        <v>24400</v>
      </c>
      <c r="AN17" s="291">
        <v>61</v>
      </c>
      <c r="AO17" s="292">
        <v>152252</v>
      </c>
      <c r="AP17" s="291"/>
      <c r="AQ17" s="291"/>
      <c r="AR17" s="291" t="s">
        <v>243</v>
      </c>
      <c r="AS17" s="291">
        <v>124681.60000000001</v>
      </c>
      <c r="AT17" s="291">
        <v>62340.800000000003</v>
      </c>
      <c r="AU17" s="291">
        <v>31170.400000000001</v>
      </c>
      <c r="AV17" s="299">
        <v>124681.60000000001</v>
      </c>
      <c r="AW17" s="300" t="s">
        <v>772</v>
      </c>
      <c r="AX17" s="312">
        <v>27570.399999999994</v>
      </c>
      <c r="AY17" s="313" t="s">
        <v>772</v>
      </c>
      <c r="AZ17" s="307"/>
      <c r="BA17" s="303"/>
      <c r="BB17" s="307"/>
      <c r="BC17" s="308"/>
      <c r="BD17" s="307"/>
      <c r="BE17" s="304"/>
      <c r="BF17" s="307"/>
      <c r="BG17" s="309"/>
      <c r="BH17" s="307"/>
      <c r="BI17" s="309"/>
      <c r="BJ17" s="307"/>
      <c r="BK17" s="309"/>
      <c r="BL17" s="307"/>
      <c r="BM17" s="309"/>
      <c r="BN17" s="307"/>
      <c r="BO17" s="309"/>
      <c r="BP17" s="307"/>
      <c r="BQ17" s="309"/>
      <c r="BR17" s="307"/>
      <c r="BS17" s="309"/>
      <c r="BT17" s="292">
        <f>IF('Daten 2021'!$AW17="x",'Daten 2021'!$AV17,0)+IF('Daten 2021'!$AY17="x",'Daten 2021'!$AX17,0)+IF('Daten 2021'!$BA17="x",'Daten 2021'!$AZ17,0)+IF('Daten 2021'!$BC17="x",'Daten 2021'!$BB17,0)+IF('Daten 2021'!$BE17="x",'Daten 2021'!$BD17,0)+IF('Daten 2021'!$BG17="x",'Daten 2021'!$BF17,0)+IF('Daten 2021'!$BI17="x",'Daten 2021'!$BH17,0)+IF('Daten 2021'!$BK17="x",'Daten 2021'!$BJ17,0)+IF('Daten 2021'!$BM17="x",'Daten 2021'!$BL17,0)+IF('Daten 2021'!$BO17="x",'Daten 2021'!$BN17,0)+IF('Daten 2021'!$BQ17="x",'Daten 2021'!$BP17,0)+IF('Daten 2021'!$BS17="x",'Daten 2021'!$BR17,0)</f>
        <v>152252</v>
      </c>
      <c r="BU17" s="291" t="s">
        <v>244</v>
      </c>
      <c r="BV17" s="291"/>
      <c r="BW17" s="291"/>
      <c r="BX17" s="291"/>
      <c r="BY17" s="291"/>
      <c r="BZ17" s="291"/>
    </row>
    <row r="18" spans="1:78" x14ac:dyDescent="0.3">
      <c r="A18" s="289" t="s">
        <v>27</v>
      </c>
      <c r="B18" s="291" t="s">
        <v>88</v>
      </c>
      <c r="C18" s="289" t="s">
        <v>152</v>
      </c>
      <c r="D18" s="289" t="s">
        <v>261</v>
      </c>
      <c r="E18" s="289" t="s">
        <v>440</v>
      </c>
      <c r="F18" s="289" t="s">
        <v>352</v>
      </c>
      <c r="G18" s="289"/>
      <c r="H18" s="289"/>
      <c r="I18" s="289"/>
      <c r="J18" s="289">
        <v>223</v>
      </c>
      <c r="K18" s="289">
        <v>22390</v>
      </c>
      <c r="L18" s="289">
        <v>329136</v>
      </c>
      <c r="M18" s="289">
        <v>61</v>
      </c>
      <c r="N18" s="289">
        <v>8029</v>
      </c>
      <c r="O18" s="289">
        <v>156562</v>
      </c>
      <c r="P18" s="289">
        <v>0</v>
      </c>
      <c r="Q18" s="289">
        <v>0</v>
      </c>
      <c r="R18" s="289">
        <v>0</v>
      </c>
      <c r="S18" s="289">
        <v>0</v>
      </c>
      <c r="T18" s="289">
        <v>0</v>
      </c>
      <c r="U18" s="289">
        <v>0</v>
      </c>
      <c r="V18" s="289">
        <v>0</v>
      </c>
      <c r="W18" s="289">
        <v>0</v>
      </c>
      <c r="X18" s="289">
        <v>0</v>
      </c>
      <c r="Y18" s="289">
        <v>0</v>
      </c>
      <c r="Z18" s="289">
        <v>0</v>
      </c>
      <c r="AA18" s="289">
        <v>0</v>
      </c>
      <c r="AB18" s="289">
        <v>0</v>
      </c>
      <c r="AC18" s="289">
        <v>0</v>
      </c>
      <c r="AD18" s="289">
        <v>0</v>
      </c>
      <c r="AE18" s="289">
        <v>0</v>
      </c>
      <c r="AF18" s="289">
        <v>0</v>
      </c>
      <c r="AG18" s="289">
        <v>0</v>
      </c>
      <c r="AH18" s="289"/>
      <c r="AI18" s="289"/>
      <c r="AJ18" s="289"/>
      <c r="AK18" s="289"/>
      <c r="AL18" s="289"/>
      <c r="AM18" s="289">
        <v>82320</v>
      </c>
      <c r="AN18" s="289">
        <v>284</v>
      </c>
      <c r="AO18" s="290">
        <v>568018</v>
      </c>
      <c r="AP18" s="289"/>
      <c r="AQ18" s="289"/>
      <c r="AR18" s="289" t="s">
        <v>243</v>
      </c>
      <c r="AS18" s="289">
        <v>388728</v>
      </c>
      <c r="AT18" s="289">
        <v>194364</v>
      </c>
      <c r="AU18" s="289">
        <v>97182</v>
      </c>
      <c r="AV18" s="299">
        <v>388728</v>
      </c>
      <c r="AW18" s="300" t="s">
        <v>772</v>
      </c>
      <c r="AX18" s="305">
        <v>65686.400000000009</v>
      </c>
      <c r="AY18" s="306" t="s">
        <v>772</v>
      </c>
      <c r="AZ18" s="321">
        <v>113603.59999999998</v>
      </c>
      <c r="BA18" s="306" t="s">
        <v>772</v>
      </c>
      <c r="BB18" s="307"/>
      <c r="BC18" s="308"/>
      <c r="BD18" s="307"/>
      <c r="BE18" s="304"/>
      <c r="BF18" s="307"/>
      <c r="BG18" s="309"/>
      <c r="BH18" s="307"/>
      <c r="BI18" s="309"/>
      <c r="BJ18" s="307"/>
      <c r="BK18" s="309"/>
      <c r="BL18" s="307"/>
      <c r="BM18" s="309"/>
      <c r="BN18" s="307"/>
      <c r="BO18" s="309"/>
      <c r="BP18" s="307"/>
      <c r="BQ18" s="309"/>
      <c r="BR18" s="307"/>
      <c r="BS18" s="309"/>
      <c r="BT18" s="290">
        <f>IF('Daten 2021'!$AW18="x",'Daten 2021'!$AV18,0)+IF('Daten 2021'!$AY18="x",'Daten 2021'!$AX18,0)+IF('Daten 2021'!$BA18="x",'Daten 2021'!$AZ18,0)+IF('Daten 2021'!$BC18="x",'Daten 2021'!$BB18,0)+IF('Daten 2021'!$BE18="x",'Daten 2021'!$BD18,0)+IF('Daten 2021'!$BG18="x",'Daten 2021'!$BF18,0)+IF('Daten 2021'!$BI18="x",'Daten 2021'!$BH18,0)+IF('Daten 2021'!$BK18="x",'Daten 2021'!$BJ18,0)+IF('Daten 2021'!$BM18="x",'Daten 2021'!$BL18,0)+IF('Daten 2021'!$BO18="x",'Daten 2021'!$BN18,0)+IF('Daten 2021'!$BQ18="x",'Daten 2021'!$BP18,0)+IF('Daten 2021'!$BS18="x",'Daten 2021'!$BR18,0)</f>
        <v>568018</v>
      </c>
      <c r="BU18" s="289" t="s">
        <v>244</v>
      </c>
      <c r="BV18" s="289"/>
      <c r="BW18" s="289"/>
      <c r="BX18" s="289"/>
      <c r="BY18" s="289"/>
      <c r="BZ18" s="289"/>
    </row>
    <row r="19" spans="1:78" x14ac:dyDescent="0.3">
      <c r="A19" s="291" t="s">
        <v>28</v>
      </c>
      <c r="B19" s="291" t="s">
        <v>7</v>
      </c>
      <c r="C19" s="291" t="s">
        <v>153</v>
      </c>
      <c r="D19" s="291" t="s">
        <v>262</v>
      </c>
      <c r="E19" s="291" t="s">
        <v>441</v>
      </c>
      <c r="F19" s="291" t="s">
        <v>353</v>
      </c>
      <c r="G19" s="291"/>
      <c r="H19" s="291"/>
      <c r="I19" s="291"/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6</v>
      </c>
      <c r="Q19" s="291">
        <v>30</v>
      </c>
      <c r="R19" s="291">
        <v>5160</v>
      </c>
      <c r="S19" s="291">
        <v>6</v>
      </c>
      <c r="T19" s="291">
        <v>15</v>
      </c>
      <c r="U19" s="291">
        <v>3360</v>
      </c>
      <c r="V19" s="291">
        <v>0</v>
      </c>
      <c r="W19" s="291">
        <v>0</v>
      </c>
      <c r="X19" s="291">
        <v>0</v>
      </c>
      <c r="Y19" s="291">
        <v>0</v>
      </c>
      <c r="Z19" s="291">
        <v>0</v>
      </c>
      <c r="AA19" s="291">
        <v>0</v>
      </c>
      <c r="AB19" s="291">
        <v>0</v>
      </c>
      <c r="AC19" s="291">
        <v>0</v>
      </c>
      <c r="AD19" s="291">
        <v>0</v>
      </c>
      <c r="AE19" s="291">
        <v>0</v>
      </c>
      <c r="AF19" s="291">
        <v>0</v>
      </c>
      <c r="AG19" s="291">
        <v>0</v>
      </c>
      <c r="AH19" s="291"/>
      <c r="AI19" s="291"/>
      <c r="AJ19" s="291"/>
      <c r="AK19" s="291"/>
      <c r="AL19" s="291"/>
      <c r="AM19" s="291">
        <v>4800</v>
      </c>
      <c r="AN19" s="291">
        <v>12</v>
      </c>
      <c r="AO19" s="292">
        <v>13320</v>
      </c>
      <c r="AP19" s="291"/>
      <c r="AQ19" s="291"/>
      <c r="AR19" s="291" t="s">
        <v>243</v>
      </c>
      <c r="AS19" s="291">
        <v>9072</v>
      </c>
      <c r="AT19" s="291">
        <v>4536</v>
      </c>
      <c r="AU19" s="291">
        <v>2268</v>
      </c>
      <c r="AV19" s="299">
        <v>9072</v>
      </c>
      <c r="AW19" s="300" t="s">
        <v>772</v>
      </c>
      <c r="AX19" s="305">
        <v>1584</v>
      </c>
      <c r="AY19" s="306" t="s">
        <v>772</v>
      </c>
      <c r="AZ19" s="305">
        <v>2664</v>
      </c>
      <c r="BA19" s="306"/>
      <c r="BB19" s="307"/>
      <c r="BC19" s="308"/>
      <c r="BD19" s="307"/>
      <c r="BE19" s="304"/>
      <c r="BF19" s="307"/>
      <c r="BG19" s="309"/>
      <c r="BH19" s="307"/>
      <c r="BI19" s="309"/>
      <c r="BJ19" s="307"/>
      <c r="BK19" s="309"/>
      <c r="BL19" s="307"/>
      <c r="BM19" s="309"/>
      <c r="BN19" s="307"/>
      <c r="BO19" s="309"/>
      <c r="BP19" s="307"/>
      <c r="BQ19" s="309"/>
      <c r="BR19" s="307"/>
      <c r="BS19" s="309"/>
      <c r="BT19" s="292">
        <f>IF('Daten 2021'!$AW19="x",'Daten 2021'!$AV19,0)+IF('Daten 2021'!$AY19="x",'Daten 2021'!$AX19,0)+IF('Daten 2021'!$BA19="x",'Daten 2021'!$AZ19,0)+IF('Daten 2021'!$BC19="x",'Daten 2021'!$BB19,0)+IF('Daten 2021'!$BE19="x",'Daten 2021'!$BD19,0)+IF('Daten 2021'!$BG19="x",'Daten 2021'!$BF19,0)+IF('Daten 2021'!$BI19="x",'Daten 2021'!$BH19,0)+IF('Daten 2021'!$BK19="x",'Daten 2021'!$BJ19,0)+IF('Daten 2021'!$BM19="x",'Daten 2021'!$BL19,0)+IF('Daten 2021'!$BO19="x",'Daten 2021'!$BN19,0)+IF('Daten 2021'!$BQ19="x",'Daten 2021'!$BP19,0)+IF('Daten 2021'!$BS19="x",'Daten 2021'!$BR19,0)</f>
        <v>10656</v>
      </c>
      <c r="BU19" s="291" t="s">
        <v>244</v>
      </c>
      <c r="BV19" s="291"/>
      <c r="BW19" s="291"/>
      <c r="BX19" s="291"/>
      <c r="BY19" s="291"/>
      <c r="BZ19" s="291"/>
    </row>
    <row r="20" spans="1:78" x14ac:dyDescent="0.3">
      <c r="A20" s="289" t="s">
        <v>29</v>
      </c>
      <c r="B20" s="291" t="s">
        <v>89</v>
      </c>
      <c r="C20" s="289" t="s">
        <v>154</v>
      </c>
      <c r="D20" s="289" t="s">
        <v>263</v>
      </c>
      <c r="E20" s="289" t="s">
        <v>442</v>
      </c>
      <c r="F20" s="289" t="s">
        <v>354</v>
      </c>
      <c r="G20" s="289"/>
      <c r="H20" s="289"/>
      <c r="I20" s="289"/>
      <c r="J20" s="289">
        <v>218</v>
      </c>
      <c r="K20" s="289">
        <v>26552</v>
      </c>
      <c r="L20" s="289">
        <v>417348</v>
      </c>
      <c r="M20" s="289">
        <v>37</v>
      </c>
      <c r="N20" s="289">
        <v>3920</v>
      </c>
      <c r="O20" s="289">
        <v>80280</v>
      </c>
      <c r="P20" s="289">
        <v>4</v>
      </c>
      <c r="Q20" s="289">
        <v>20</v>
      </c>
      <c r="R20" s="289">
        <v>3440</v>
      </c>
      <c r="S20" s="289">
        <v>3</v>
      </c>
      <c r="T20" s="289">
        <v>15</v>
      </c>
      <c r="U20" s="289">
        <v>2580</v>
      </c>
      <c r="V20" s="289">
        <v>20</v>
      </c>
      <c r="W20" s="289">
        <v>8000</v>
      </c>
      <c r="X20" s="289">
        <v>20</v>
      </c>
      <c r="Y20" s="289">
        <v>8000</v>
      </c>
      <c r="Z20" s="289">
        <v>0</v>
      </c>
      <c r="AA20" s="289">
        <v>0</v>
      </c>
      <c r="AB20" s="289">
        <v>0</v>
      </c>
      <c r="AC20" s="289">
        <v>0</v>
      </c>
      <c r="AD20" s="289">
        <v>0</v>
      </c>
      <c r="AE20" s="289">
        <v>0</v>
      </c>
      <c r="AF20" s="289">
        <v>0</v>
      </c>
      <c r="AG20" s="289">
        <v>0</v>
      </c>
      <c r="AH20" s="289"/>
      <c r="AI20" s="289"/>
      <c r="AJ20" s="289"/>
      <c r="AK20" s="289"/>
      <c r="AL20" s="289"/>
      <c r="AM20" s="289">
        <v>77260</v>
      </c>
      <c r="AN20" s="289">
        <v>262</v>
      </c>
      <c r="AO20" s="290">
        <v>596908</v>
      </c>
      <c r="AP20" s="289"/>
      <c r="AQ20" s="289"/>
      <c r="AR20" s="289" t="s">
        <v>253</v>
      </c>
      <c r="AS20" s="289">
        <v>477526.4</v>
      </c>
      <c r="AT20" s="289">
        <v>238763.2</v>
      </c>
      <c r="AU20" s="289">
        <v>119381.6</v>
      </c>
      <c r="AV20" s="299">
        <v>238763.2</v>
      </c>
      <c r="AW20" s="300" t="s">
        <v>772</v>
      </c>
      <c r="AX20" s="299">
        <v>238763.2</v>
      </c>
      <c r="AY20" s="301" t="s">
        <v>772</v>
      </c>
      <c r="AZ20" s="325">
        <v>119381.59999999998</v>
      </c>
      <c r="BA20" s="301" t="s">
        <v>772</v>
      </c>
      <c r="BB20" s="307"/>
      <c r="BC20" s="308"/>
      <c r="BD20" s="307"/>
      <c r="BE20" s="304"/>
      <c r="BF20" s="307"/>
      <c r="BG20" s="309"/>
      <c r="BH20" s="307"/>
      <c r="BI20" s="309"/>
      <c r="BJ20" s="307"/>
      <c r="BK20" s="309"/>
      <c r="BL20" s="307"/>
      <c r="BM20" s="309"/>
      <c r="BN20" s="307"/>
      <c r="BO20" s="309"/>
      <c r="BP20" s="307"/>
      <c r="BQ20" s="309"/>
      <c r="BR20" s="307"/>
      <c r="BS20" s="309"/>
      <c r="BT20" s="290">
        <f>IF('Daten 2021'!$AW20="x",'Daten 2021'!$AV20,0)+IF('Daten 2021'!$AY20="x",'Daten 2021'!$AX20,0)+IF('Daten 2021'!$BA20="x",'Daten 2021'!$AZ20,0)+IF('Daten 2021'!$BC20="x",'Daten 2021'!$BB20,0)+IF('Daten 2021'!$BE20="x",'Daten 2021'!$BD20,0)+IF('Daten 2021'!$BG20="x",'Daten 2021'!$BF20,0)+IF('Daten 2021'!$BI20="x",'Daten 2021'!$BH20,0)+IF('Daten 2021'!$BK20="x",'Daten 2021'!$BJ20,0)+IF('Daten 2021'!$BM20="x",'Daten 2021'!$BL20,0)+IF('Daten 2021'!$BO20="x",'Daten 2021'!$BN20,0)+IF('Daten 2021'!$BQ20="x",'Daten 2021'!$BP20,0)+IF('Daten 2021'!$BS20="x",'Daten 2021'!$BR20,0)</f>
        <v>596908</v>
      </c>
      <c r="BU20" s="289" t="s">
        <v>244</v>
      </c>
      <c r="BV20" s="289"/>
      <c r="BW20" s="289"/>
      <c r="BX20" s="289"/>
      <c r="BY20" s="289"/>
      <c r="BZ20" s="289"/>
    </row>
    <row r="21" spans="1:78" x14ac:dyDescent="0.3">
      <c r="A21" s="291" t="s">
        <v>30</v>
      </c>
      <c r="B21" s="291" t="s">
        <v>90</v>
      </c>
      <c r="C21" s="291" t="s">
        <v>155</v>
      </c>
      <c r="D21" s="291" t="s">
        <v>264</v>
      </c>
      <c r="E21" s="291" t="s">
        <v>443</v>
      </c>
      <c r="F21" s="291" t="s">
        <v>802</v>
      </c>
      <c r="G21" s="291"/>
      <c r="H21" s="291"/>
      <c r="I21" s="291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291">
        <v>0</v>
      </c>
      <c r="P21" s="291">
        <v>1</v>
      </c>
      <c r="Q21" s="291">
        <v>5</v>
      </c>
      <c r="R21" s="291">
        <v>860</v>
      </c>
      <c r="S21" s="291">
        <v>1</v>
      </c>
      <c r="T21" s="291">
        <v>5</v>
      </c>
      <c r="U21" s="291">
        <v>860</v>
      </c>
      <c r="V21" s="291">
        <v>0</v>
      </c>
      <c r="W21" s="291">
        <v>0</v>
      </c>
      <c r="X21" s="291">
        <v>0</v>
      </c>
      <c r="Y21" s="291">
        <v>0</v>
      </c>
      <c r="Z21" s="291">
        <v>0</v>
      </c>
      <c r="AA21" s="291">
        <v>0</v>
      </c>
      <c r="AB21" s="291">
        <v>0</v>
      </c>
      <c r="AC21" s="291">
        <v>0</v>
      </c>
      <c r="AD21" s="291">
        <v>0</v>
      </c>
      <c r="AE21" s="291">
        <v>0</v>
      </c>
      <c r="AF21" s="291">
        <v>0</v>
      </c>
      <c r="AG21" s="291">
        <v>0</v>
      </c>
      <c r="AH21" s="291"/>
      <c r="AI21" s="291"/>
      <c r="AJ21" s="291"/>
      <c r="AK21" s="291"/>
      <c r="AL21" s="291"/>
      <c r="AM21" s="291">
        <v>800</v>
      </c>
      <c r="AN21" s="291">
        <v>2</v>
      </c>
      <c r="AO21" s="292">
        <v>2520</v>
      </c>
      <c r="AP21" s="291"/>
      <c r="AQ21" s="291"/>
      <c r="AR21" s="291" t="s">
        <v>243</v>
      </c>
      <c r="AS21" s="291">
        <v>8140.8</v>
      </c>
      <c r="AT21" s="291">
        <v>4070.4</v>
      </c>
      <c r="AU21" s="291">
        <v>2035.2</v>
      </c>
      <c r="AV21" s="299">
        <v>8140.8</v>
      </c>
      <c r="AW21" s="300" t="s">
        <v>772</v>
      </c>
      <c r="AX21" s="305">
        <v>-5620.8</v>
      </c>
      <c r="AY21" s="306" t="s">
        <v>772</v>
      </c>
      <c r="AZ21" s="307"/>
      <c r="BA21" s="303"/>
      <c r="BB21" s="307"/>
      <c r="BC21" s="308"/>
      <c r="BD21" s="307"/>
      <c r="BE21" s="304"/>
      <c r="BF21" s="307"/>
      <c r="BG21" s="309"/>
      <c r="BH21" s="307"/>
      <c r="BI21" s="309"/>
      <c r="BJ21" s="307"/>
      <c r="BK21" s="309"/>
      <c r="BL21" s="307"/>
      <c r="BM21" s="309"/>
      <c r="BN21" s="307"/>
      <c r="BO21" s="309"/>
      <c r="BP21" s="307"/>
      <c r="BQ21" s="309"/>
      <c r="BR21" s="307"/>
      <c r="BS21" s="309"/>
      <c r="BT21" s="292">
        <f>IF('Daten 2021'!$AW21="x",'Daten 2021'!$AV21,0)+IF('Daten 2021'!$AY21="x",'Daten 2021'!$AX21,0)+IF('Daten 2021'!$BA21="x",'Daten 2021'!$AZ21,0)+IF('Daten 2021'!$BC21="x",'Daten 2021'!$BB21,0)+IF('Daten 2021'!$BE21="x",'Daten 2021'!$BD21,0)+IF('Daten 2021'!$BG21="x",'Daten 2021'!$BF21,0)+IF('Daten 2021'!$BI21="x",'Daten 2021'!$BH21,0)+IF('Daten 2021'!$BK21="x",'Daten 2021'!$BJ21,0)+IF('Daten 2021'!$BM21="x",'Daten 2021'!$BL21,0)+IF('Daten 2021'!$BO21="x",'Daten 2021'!$BN21,0)+IF('Daten 2021'!$BQ21="x",'Daten 2021'!$BP21,0)+IF('Daten 2021'!$BS21="x",'Daten 2021'!$BR21,0)</f>
        <v>2520</v>
      </c>
      <c r="BU21" s="291" t="s">
        <v>244</v>
      </c>
      <c r="BV21" s="291"/>
      <c r="BW21" s="291"/>
      <c r="BX21" s="291"/>
      <c r="BY21" s="291"/>
      <c r="BZ21" s="291"/>
    </row>
    <row r="22" spans="1:78" x14ac:dyDescent="0.3">
      <c r="A22" s="289" t="s">
        <v>31</v>
      </c>
      <c r="B22" s="291" t="s">
        <v>820</v>
      </c>
      <c r="C22" s="289" t="s">
        <v>156</v>
      </c>
      <c r="D22" s="289" t="s">
        <v>265</v>
      </c>
      <c r="E22" s="289" t="s">
        <v>444</v>
      </c>
      <c r="F22" s="289" t="s">
        <v>355</v>
      </c>
      <c r="G22" s="289"/>
      <c r="H22" s="289"/>
      <c r="I22" s="289"/>
      <c r="J22" s="289">
        <v>3</v>
      </c>
      <c r="K22" s="289">
        <v>898</v>
      </c>
      <c r="L22" s="289">
        <v>13194</v>
      </c>
      <c r="M22" s="289">
        <v>0</v>
      </c>
      <c r="N22" s="289">
        <v>0</v>
      </c>
      <c r="O22" s="289">
        <v>0</v>
      </c>
      <c r="P22" s="289">
        <v>5</v>
      </c>
      <c r="Q22" s="289">
        <v>54</v>
      </c>
      <c r="R22" s="289">
        <v>7740</v>
      </c>
      <c r="S22" s="289">
        <v>0</v>
      </c>
      <c r="T22" s="289">
        <v>0</v>
      </c>
      <c r="U22" s="289">
        <v>0</v>
      </c>
      <c r="V22" s="289">
        <v>0</v>
      </c>
      <c r="W22" s="289">
        <v>0</v>
      </c>
      <c r="X22" s="289">
        <v>0</v>
      </c>
      <c r="Y22" s="289">
        <v>0</v>
      </c>
      <c r="Z22" s="289">
        <v>0</v>
      </c>
      <c r="AA22" s="289">
        <v>0</v>
      </c>
      <c r="AB22" s="289">
        <v>0</v>
      </c>
      <c r="AC22" s="289">
        <v>0</v>
      </c>
      <c r="AD22" s="289">
        <v>0</v>
      </c>
      <c r="AE22" s="289">
        <v>0</v>
      </c>
      <c r="AF22" s="289">
        <v>0</v>
      </c>
      <c r="AG22" s="289">
        <v>0</v>
      </c>
      <c r="AH22" s="289"/>
      <c r="AI22" s="289"/>
      <c r="AJ22" s="289"/>
      <c r="AK22" s="289"/>
      <c r="AL22" s="289"/>
      <c r="AM22" s="289">
        <v>3200</v>
      </c>
      <c r="AN22" s="289">
        <v>8</v>
      </c>
      <c r="AO22" s="290">
        <v>24134</v>
      </c>
      <c r="AP22" s="289"/>
      <c r="AQ22" s="289"/>
      <c r="AR22" s="289" t="s">
        <v>243</v>
      </c>
      <c r="AS22" s="289">
        <v>21547.200000000001</v>
      </c>
      <c r="AT22" s="289">
        <v>10773.6</v>
      </c>
      <c r="AU22" s="289">
        <v>5386.8</v>
      </c>
      <c r="AV22" s="299">
        <v>21547.200000000001</v>
      </c>
      <c r="AW22" s="300" t="s">
        <v>772</v>
      </c>
      <c r="AX22" s="305">
        <v>2586.7999999999993</v>
      </c>
      <c r="AY22" s="306"/>
      <c r="AZ22" s="307"/>
      <c r="BA22" s="303"/>
      <c r="BB22" s="307"/>
      <c r="BC22" s="308"/>
      <c r="BD22" s="307"/>
      <c r="BE22" s="304"/>
      <c r="BF22" s="307"/>
      <c r="BG22" s="309"/>
      <c r="BH22" s="307"/>
      <c r="BI22" s="309"/>
      <c r="BJ22" s="307"/>
      <c r="BK22" s="309"/>
      <c r="BL22" s="307"/>
      <c r="BM22" s="309"/>
      <c r="BN22" s="307"/>
      <c r="BO22" s="309"/>
      <c r="BP22" s="307"/>
      <c r="BQ22" s="309"/>
      <c r="BR22" s="307"/>
      <c r="BS22" s="309"/>
      <c r="BT22" s="290">
        <f>IF('Daten 2021'!$AW22="x",'Daten 2021'!$AV22,0)+IF('Daten 2021'!$AY22="x",'Daten 2021'!$AX22,0)+IF('Daten 2021'!$BA22="x",'Daten 2021'!$AZ22,0)+IF('Daten 2021'!$BC22="x",'Daten 2021'!$BB22,0)+IF('Daten 2021'!$BE22="x",'Daten 2021'!$BD22,0)+IF('Daten 2021'!$BG22="x",'Daten 2021'!$BF22,0)+IF('Daten 2021'!$BI22="x",'Daten 2021'!$BH22,0)+IF('Daten 2021'!$BK22="x",'Daten 2021'!$BJ22,0)+IF('Daten 2021'!$BM22="x",'Daten 2021'!$BL22,0)+IF('Daten 2021'!$BO22="x",'Daten 2021'!$BN22,0)+IF('Daten 2021'!$BQ22="x",'Daten 2021'!$BP22,0)+IF('Daten 2021'!$BS22="x",'Daten 2021'!$BR22,0)</f>
        <v>21547.200000000001</v>
      </c>
      <c r="BU22" s="289" t="s">
        <v>244</v>
      </c>
      <c r="BV22" s="289"/>
      <c r="BW22" s="289"/>
      <c r="BX22" s="289"/>
      <c r="BY22" s="289"/>
      <c r="BZ22" s="289"/>
    </row>
    <row r="23" spans="1:78" x14ac:dyDescent="0.3">
      <c r="A23" s="291" t="s">
        <v>32</v>
      </c>
      <c r="B23" s="291" t="s">
        <v>91</v>
      </c>
      <c r="C23" s="291" t="s">
        <v>157</v>
      </c>
      <c r="D23" s="291" t="s">
        <v>266</v>
      </c>
      <c r="E23" s="291" t="s">
        <v>445</v>
      </c>
      <c r="F23" s="291" t="s">
        <v>356</v>
      </c>
      <c r="G23" s="291"/>
      <c r="H23" s="291"/>
      <c r="I23" s="291"/>
      <c r="J23" s="291">
        <v>49</v>
      </c>
      <c r="K23" s="291">
        <v>5992</v>
      </c>
      <c r="L23" s="291">
        <v>93996</v>
      </c>
      <c r="M23" s="291">
        <v>27</v>
      </c>
      <c r="N23" s="291">
        <v>2824</v>
      </c>
      <c r="O23" s="291">
        <v>58140</v>
      </c>
      <c r="P23" s="291">
        <v>2</v>
      </c>
      <c r="Q23" s="291">
        <v>10</v>
      </c>
      <c r="R23" s="291">
        <v>1720</v>
      </c>
      <c r="S23" s="291">
        <v>2</v>
      </c>
      <c r="T23" s="291">
        <v>10</v>
      </c>
      <c r="U23" s="291">
        <v>1720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0</v>
      </c>
      <c r="AB23" s="291">
        <v>0</v>
      </c>
      <c r="AC23" s="291">
        <v>0</v>
      </c>
      <c r="AD23" s="291">
        <v>0</v>
      </c>
      <c r="AE23" s="291">
        <v>0</v>
      </c>
      <c r="AF23" s="291">
        <v>0</v>
      </c>
      <c r="AG23" s="291">
        <v>0</v>
      </c>
      <c r="AH23" s="291"/>
      <c r="AI23" s="291"/>
      <c r="AJ23" s="291"/>
      <c r="AK23" s="291"/>
      <c r="AL23" s="291"/>
      <c r="AM23" s="291">
        <v>32000</v>
      </c>
      <c r="AN23" s="291">
        <v>80</v>
      </c>
      <c r="AO23" s="292">
        <v>187576</v>
      </c>
      <c r="AP23" s="291"/>
      <c r="AQ23" s="291"/>
      <c r="AR23" s="291" t="s">
        <v>243</v>
      </c>
      <c r="AS23" s="291">
        <v>150060.80000000002</v>
      </c>
      <c r="AT23" s="291">
        <v>75030.400000000009</v>
      </c>
      <c r="AU23" s="291">
        <v>37515.200000000004</v>
      </c>
      <c r="AV23" s="299">
        <v>150060.79999999999</v>
      </c>
      <c r="AW23" s="300" t="s">
        <v>772</v>
      </c>
      <c r="AX23" s="299">
        <v>37515.200000000012</v>
      </c>
      <c r="AY23" s="301" t="s">
        <v>772</v>
      </c>
      <c r="AZ23" s="307"/>
      <c r="BA23" s="303"/>
      <c r="BB23" s="307"/>
      <c r="BC23" s="308"/>
      <c r="BD23" s="307"/>
      <c r="BE23" s="304"/>
      <c r="BF23" s="307"/>
      <c r="BG23" s="309"/>
      <c r="BH23" s="307"/>
      <c r="BI23" s="309"/>
      <c r="BJ23" s="307"/>
      <c r="BK23" s="309"/>
      <c r="BL23" s="307"/>
      <c r="BM23" s="309"/>
      <c r="BN23" s="307"/>
      <c r="BO23" s="309"/>
      <c r="BP23" s="307"/>
      <c r="BQ23" s="309"/>
      <c r="BR23" s="307"/>
      <c r="BS23" s="309"/>
      <c r="BT23" s="292">
        <f>IF('Daten 2021'!$AW23="x",'Daten 2021'!$AV23,0)+IF('Daten 2021'!$AY23="x",'Daten 2021'!$AX23,0)+IF('Daten 2021'!$BA23="x",'Daten 2021'!$AZ23,0)+IF('Daten 2021'!$BC23="x",'Daten 2021'!$BB23,0)+IF('Daten 2021'!$BE23="x",'Daten 2021'!$BD23,0)+IF('Daten 2021'!$BG23="x",'Daten 2021'!$BF23,0)+IF('Daten 2021'!$BI23="x",'Daten 2021'!$BH23,0)+IF('Daten 2021'!$BK23="x",'Daten 2021'!$BJ23,0)+IF('Daten 2021'!$BM23="x",'Daten 2021'!$BL23,0)+IF('Daten 2021'!$BO23="x",'Daten 2021'!$BN23,0)+IF('Daten 2021'!$BQ23="x",'Daten 2021'!$BP23,0)+IF('Daten 2021'!$BS23="x",'Daten 2021'!$BR23,0)</f>
        <v>187576</v>
      </c>
      <c r="BU23" s="291" t="s">
        <v>244</v>
      </c>
      <c r="BV23" s="291"/>
      <c r="BW23" s="291"/>
      <c r="BX23" s="291"/>
      <c r="BY23" s="291"/>
      <c r="BZ23" s="291"/>
    </row>
    <row r="24" spans="1:78" x14ac:dyDescent="0.3">
      <c r="A24" s="289" t="s">
        <v>33</v>
      </c>
      <c r="B24" s="291" t="s">
        <v>92</v>
      </c>
      <c r="C24" s="289" t="s">
        <v>158</v>
      </c>
      <c r="D24" s="289" t="s">
        <v>267</v>
      </c>
      <c r="E24" s="289" t="s">
        <v>446</v>
      </c>
      <c r="F24" s="289" t="s">
        <v>357</v>
      </c>
      <c r="G24" s="289"/>
      <c r="H24" s="289"/>
      <c r="I24" s="289"/>
      <c r="J24" s="289">
        <v>0</v>
      </c>
      <c r="K24" s="289">
        <v>0</v>
      </c>
      <c r="L24" s="289">
        <v>0</v>
      </c>
      <c r="M24" s="289">
        <v>37</v>
      </c>
      <c r="N24" s="289">
        <v>2797</v>
      </c>
      <c r="O24" s="289">
        <v>54533.020000000004</v>
      </c>
      <c r="P24" s="289">
        <v>0</v>
      </c>
      <c r="Q24" s="289">
        <v>0</v>
      </c>
      <c r="R24" s="289">
        <v>0</v>
      </c>
      <c r="S24" s="289">
        <v>0</v>
      </c>
      <c r="T24" s="289">
        <v>0</v>
      </c>
      <c r="U24" s="289">
        <v>0</v>
      </c>
      <c r="V24" s="289">
        <v>0</v>
      </c>
      <c r="W24" s="289">
        <v>0</v>
      </c>
      <c r="X24" s="289">
        <v>0</v>
      </c>
      <c r="Y24" s="289">
        <v>0</v>
      </c>
      <c r="Z24" s="289">
        <v>0</v>
      </c>
      <c r="AA24" s="289">
        <v>0</v>
      </c>
      <c r="AB24" s="289">
        <v>0</v>
      </c>
      <c r="AC24" s="289">
        <v>0</v>
      </c>
      <c r="AD24" s="289">
        <v>0</v>
      </c>
      <c r="AE24" s="289">
        <v>0</v>
      </c>
      <c r="AF24" s="289">
        <v>0</v>
      </c>
      <c r="AG24" s="289">
        <v>0</v>
      </c>
      <c r="AH24" s="289"/>
      <c r="AI24" s="289"/>
      <c r="AJ24" s="289"/>
      <c r="AK24" s="289"/>
      <c r="AL24" s="289"/>
      <c r="AM24" s="289">
        <v>14800</v>
      </c>
      <c r="AN24" s="289">
        <v>37</v>
      </c>
      <c r="AO24" s="290">
        <v>69333.02</v>
      </c>
      <c r="AP24" s="289"/>
      <c r="AQ24" s="289"/>
      <c r="AR24" s="289" t="s">
        <v>243</v>
      </c>
      <c r="AS24" s="289">
        <v>71659.199999999997</v>
      </c>
      <c r="AT24" s="289">
        <v>35829.599999999999</v>
      </c>
      <c r="AU24" s="289">
        <v>17914.8</v>
      </c>
      <c r="AV24" s="299">
        <v>71659.199999999997</v>
      </c>
      <c r="AW24" s="300" t="s">
        <v>772</v>
      </c>
      <c r="AX24" s="312">
        <v>-2326.179999999993</v>
      </c>
      <c r="AY24" s="313" t="s">
        <v>772</v>
      </c>
      <c r="AZ24" s="307"/>
      <c r="BA24" s="303"/>
      <c r="BB24" s="307"/>
      <c r="BC24" s="308"/>
      <c r="BD24" s="307"/>
      <c r="BE24" s="304"/>
      <c r="BF24" s="307"/>
      <c r="BG24" s="309"/>
      <c r="BH24" s="307"/>
      <c r="BI24" s="309"/>
      <c r="BJ24" s="307"/>
      <c r="BK24" s="309"/>
      <c r="BL24" s="307"/>
      <c r="BM24" s="309"/>
      <c r="BN24" s="307"/>
      <c r="BO24" s="309"/>
      <c r="BP24" s="307"/>
      <c r="BQ24" s="309"/>
      <c r="BR24" s="307"/>
      <c r="BS24" s="309"/>
      <c r="BT24" s="290">
        <f>IF('Daten 2021'!$AW24="x",'Daten 2021'!$AV24,0)+IF('Daten 2021'!$AY24="x",'Daten 2021'!$AX24,0)+IF('Daten 2021'!$BA24="x",'Daten 2021'!$AZ24,0)+IF('Daten 2021'!$BC24="x",'Daten 2021'!$BB24,0)+IF('Daten 2021'!$BE24="x",'Daten 2021'!$BD24,0)+IF('Daten 2021'!$BG24="x",'Daten 2021'!$BF24,0)+IF('Daten 2021'!$BI24="x",'Daten 2021'!$BH24,0)+IF('Daten 2021'!$BK24="x",'Daten 2021'!$BJ24,0)+IF('Daten 2021'!$BM24="x",'Daten 2021'!$BL24,0)+IF('Daten 2021'!$BO24="x",'Daten 2021'!$BN24,0)+IF('Daten 2021'!$BQ24="x",'Daten 2021'!$BP24,0)+IF('Daten 2021'!$BS24="x",'Daten 2021'!$BR24,0)</f>
        <v>69333.02</v>
      </c>
      <c r="BU24" s="289" t="s">
        <v>244</v>
      </c>
      <c r="BV24" s="289"/>
      <c r="BW24" s="289"/>
      <c r="BX24" s="289"/>
      <c r="BY24" s="289"/>
      <c r="BZ24" s="289"/>
    </row>
    <row r="25" spans="1:78" x14ac:dyDescent="0.3">
      <c r="A25" s="291" t="s">
        <v>34</v>
      </c>
      <c r="B25" s="291" t="s">
        <v>93</v>
      </c>
      <c r="C25" s="291" t="s">
        <v>159</v>
      </c>
      <c r="D25" s="291" t="s">
        <v>268</v>
      </c>
      <c r="E25" s="291" t="s">
        <v>447</v>
      </c>
      <c r="F25" s="291" t="s">
        <v>358</v>
      </c>
      <c r="G25" s="291"/>
      <c r="H25" s="291"/>
      <c r="I25" s="291"/>
      <c r="J25" s="291">
        <v>79</v>
      </c>
      <c r="K25" s="291">
        <v>11420</v>
      </c>
      <c r="L25" s="291">
        <v>167867</v>
      </c>
      <c r="M25" s="291">
        <v>25</v>
      </c>
      <c r="N25" s="291">
        <v>2806</v>
      </c>
      <c r="O25" s="291">
        <v>54720</v>
      </c>
      <c r="P25" s="291">
        <v>0</v>
      </c>
      <c r="Q25" s="291">
        <v>0</v>
      </c>
      <c r="R25" s="291">
        <v>0</v>
      </c>
      <c r="S25" s="291">
        <v>0</v>
      </c>
      <c r="T25" s="291">
        <v>0</v>
      </c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1">
        <v>0</v>
      </c>
      <c r="AA25" s="291">
        <v>0</v>
      </c>
      <c r="AB25" s="291">
        <v>0</v>
      </c>
      <c r="AC25" s="291">
        <v>0</v>
      </c>
      <c r="AD25" s="291">
        <v>0</v>
      </c>
      <c r="AE25" s="291">
        <v>0</v>
      </c>
      <c r="AF25" s="291">
        <v>0</v>
      </c>
      <c r="AG25" s="291">
        <v>0</v>
      </c>
      <c r="AH25" s="291"/>
      <c r="AI25" s="291"/>
      <c r="AJ25" s="291"/>
      <c r="AK25" s="291"/>
      <c r="AL25" s="291"/>
      <c r="AM25" s="291">
        <v>40920</v>
      </c>
      <c r="AN25" s="291">
        <v>104</v>
      </c>
      <c r="AO25" s="292">
        <v>263507</v>
      </c>
      <c r="AP25" s="291"/>
      <c r="AQ25" s="291"/>
      <c r="AR25" s="291" t="s">
        <v>243</v>
      </c>
      <c r="AS25" s="291">
        <v>203380.80000000002</v>
      </c>
      <c r="AT25" s="291">
        <v>101690.40000000001</v>
      </c>
      <c r="AU25" s="291">
        <v>50845.200000000004</v>
      </c>
      <c r="AV25" s="299">
        <v>203380.8</v>
      </c>
      <c r="AW25" s="300" t="s">
        <v>772</v>
      </c>
      <c r="AX25" s="305">
        <v>7424.8</v>
      </c>
      <c r="AY25" s="306" t="s">
        <v>772</v>
      </c>
      <c r="AZ25" s="321">
        <v>52701.400000000023</v>
      </c>
      <c r="BA25" s="306" t="s">
        <v>772</v>
      </c>
      <c r="BB25" s="307"/>
      <c r="BC25" s="308"/>
      <c r="BD25" s="307"/>
      <c r="BE25" s="304"/>
      <c r="BF25" s="307"/>
      <c r="BG25" s="309"/>
      <c r="BH25" s="307"/>
      <c r="BI25" s="309"/>
      <c r="BJ25" s="307"/>
      <c r="BK25" s="309"/>
      <c r="BL25" s="307"/>
      <c r="BM25" s="309"/>
      <c r="BN25" s="307"/>
      <c r="BO25" s="309"/>
      <c r="BP25" s="307"/>
      <c r="BQ25" s="309"/>
      <c r="BR25" s="307"/>
      <c r="BS25" s="309"/>
      <c r="BT25" s="292">
        <f>IF('Daten 2021'!$AW25="x",'Daten 2021'!$AV25,0)+IF('Daten 2021'!$AY25="x",'Daten 2021'!$AX25,0)+IF('Daten 2021'!$BA25="x",'Daten 2021'!$AZ25,0)+IF('Daten 2021'!$BC25="x",'Daten 2021'!$BB25,0)+IF('Daten 2021'!$BE25="x",'Daten 2021'!$BD25,0)+IF('Daten 2021'!$BG25="x",'Daten 2021'!$BF25,0)+IF('Daten 2021'!$BI25="x",'Daten 2021'!$BH25,0)+IF('Daten 2021'!$BK25="x",'Daten 2021'!$BJ25,0)+IF('Daten 2021'!$BM25="x",'Daten 2021'!$BL25,0)+IF('Daten 2021'!$BO25="x",'Daten 2021'!$BN25,0)+IF('Daten 2021'!$BQ25="x",'Daten 2021'!$BP25,0)+IF('Daten 2021'!$BS25="x",'Daten 2021'!$BR25,0)</f>
        <v>263507</v>
      </c>
      <c r="BU25" s="291" t="s">
        <v>244</v>
      </c>
      <c r="BV25" s="291"/>
      <c r="BW25" s="291"/>
      <c r="BX25" s="291"/>
      <c r="BY25" s="291"/>
      <c r="BZ25" s="291"/>
    </row>
    <row r="26" spans="1:78" x14ac:dyDescent="0.3">
      <c r="A26" s="289" t="s">
        <v>35</v>
      </c>
      <c r="B26" s="291" t="s">
        <v>94</v>
      </c>
      <c r="C26" s="289" t="s">
        <v>160</v>
      </c>
      <c r="D26" s="289" t="s">
        <v>269</v>
      </c>
      <c r="E26" s="289" t="s">
        <v>448</v>
      </c>
      <c r="F26" s="289" t="s">
        <v>359</v>
      </c>
      <c r="G26" s="289"/>
      <c r="H26" s="289"/>
      <c r="I26" s="289"/>
      <c r="J26" s="289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289">
        <v>3</v>
      </c>
      <c r="Q26" s="289">
        <v>15</v>
      </c>
      <c r="R26" s="289">
        <v>2580</v>
      </c>
      <c r="S26" s="289">
        <v>5</v>
      </c>
      <c r="T26" s="289">
        <v>25</v>
      </c>
      <c r="U26" s="289">
        <v>4300</v>
      </c>
      <c r="V26" s="289">
        <v>15</v>
      </c>
      <c r="W26" s="289">
        <v>6000</v>
      </c>
      <c r="X26" s="289">
        <v>15</v>
      </c>
      <c r="Y26" s="289">
        <v>6000</v>
      </c>
      <c r="Z26" s="289">
        <v>0</v>
      </c>
      <c r="AA26" s="289">
        <v>0</v>
      </c>
      <c r="AB26" s="289">
        <v>0</v>
      </c>
      <c r="AC26" s="289">
        <v>0</v>
      </c>
      <c r="AD26" s="289">
        <v>0</v>
      </c>
      <c r="AE26" s="289">
        <v>0</v>
      </c>
      <c r="AF26" s="289">
        <v>0</v>
      </c>
      <c r="AG26" s="289">
        <v>0</v>
      </c>
      <c r="AH26" s="289"/>
      <c r="AI26" s="289"/>
      <c r="AJ26" s="289"/>
      <c r="AK26" s="289"/>
      <c r="AL26" s="289"/>
      <c r="AM26" s="289">
        <v>3200</v>
      </c>
      <c r="AN26" s="289">
        <v>8</v>
      </c>
      <c r="AO26" s="290">
        <v>22080</v>
      </c>
      <c r="AP26" s="289"/>
      <c r="AQ26" s="289"/>
      <c r="AR26" s="289" t="s">
        <v>243</v>
      </c>
      <c r="AS26" s="289">
        <v>17664</v>
      </c>
      <c r="AT26" s="289">
        <v>8832</v>
      </c>
      <c r="AU26" s="289">
        <v>4416</v>
      </c>
      <c r="AV26" s="299">
        <v>17664</v>
      </c>
      <c r="AW26" s="300" t="s">
        <v>772</v>
      </c>
      <c r="AX26" s="299">
        <v>4416</v>
      </c>
      <c r="AY26" s="301"/>
      <c r="AZ26" s="307"/>
      <c r="BA26" s="303"/>
      <c r="BB26" s="307"/>
      <c r="BC26" s="308"/>
      <c r="BD26" s="307"/>
      <c r="BE26" s="304"/>
      <c r="BF26" s="307"/>
      <c r="BG26" s="309"/>
      <c r="BH26" s="307"/>
      <c r="BI26" s="309"/>
      <c r="BJ26" s="307"/>
      <c r="BK26" s="309"/>
      <c r="BL26" s="307"/>
      <c r="BM26" s="309"/>
      <c r="BN26" s="307"/>
      <c r="BO26" s="309"/>
      <c r="BP26" s="307"/>
      <c r="BQ26" s="309"/>
      <c r="BR26" s="307"/>
      <c r="BS26" s="309"/>
      <c r="BT26" s="290">
        <f>IF('Daten 2021'!$AW26="x",'Daten 2021'!$AV26,0)+IF('Daten 2021'!$AY26="x",'Daten 2021'!$AX26,0)+IF('Daten 2021'!$BA26="x",'Daten 2021'!$AZ26,0)+IF('Daten 2021'!$BC26="x",'Daten 2021'!$BB26,0)+IF('Daten 2021'!$BE26="x",'Daten 2021'!$BD26,0)+IF('Daten 2021'!$BG26="x",'Daten 2021'!$BF26,0)+IF('Daten 2021'!$BI26="x",'Daten 2021'!$BH26,0)+IF('Daten 2021'!$BK26="x",'Daten 2021'!$BJ26,0)+IF('Daten 2021'!$BM26="x",'Daten 2021'!$BL26,0)+IF('Daten 2021'!$BO26="x",'Daten 2021'!$BN26,0)+IF('Daten 2021'!$BQ26="x",'Daten 2021'!$BP26,0)+IF('Daten 2021'!$BS26="x",'Daten 2021'!$BR26,0)</f>
        <v>17664</v>
      </c>
      <c r="BU26" s="289" t="s">
        <v>244</v>
      </c>
      <c r="BV26" s="289"/>
      <c r="BW26" s="289"/>
      <c r="BX26" s="289"/>
      <c r="BY26" s="289"/>
      <c r="BZ26" s="289"/>
    </row>
    <row r="27" spans="1:78" x14ac:dyDescent="0.3">
      <c r="A27" s="291" t="s">
        <v>36</v>
      </c>
      <c r="B27" s="291" t="s">
        <v>213</v>
      </c>
      <c r="C27" s="291" t="s">
        <v>161</v>
      </c>
      <c r="D27" s="291" t="s">
        <v>270</v>
      </c>
      <c r="E27" s="291" t="s">
        <v>449</v>
      </c>
      <c r="F27" s="291" t="s">
        <v>814</v>
      </c>
      <c r="G27" s="291"/>
      <c r="H27" s="291"/>
      <c r="I27" s="291"/>
      <c r="J27" s="291">
        <v>1</v>
      </c>
      <c r="K27" s="291">
        <v>140</v>
      </c>
      <c r="L27" s="291">
        <v>2058</v>
      </c>
      <c r="M27" s="291">
        <v>0</v>
      </c>
      <c r="N27" s="291">
        <v>0</v>
      </c>
      <c r="O27" s="291">
        <v>0</v>
      </c>
      <c r="P27" s="291">
        <v>1</v>
      </c>
      <c r="Q27" s="291">
        <v>5</v>
      </c>
      <c r="R27" s="291">
        <v>860</v>
      </c>
      <c r="S27" s="291">
        <v>0</v>
      </c>
      <c r="T27" s="291">
        <v>0</v>
      </c>
      <c r="U27" s="291">
        <v>0</v>
      </c>
      <c r="V27" s="291">
        <v>0</v>
      </c>
      <c r="W27" s="291">
        <v>0</v>
      </c>
      <c r="X27" s="291">
        <v>0</v>
      </c>
      <c r="Y27" s="291">
        <v>0</v>
      </c>
      <c r="Z27" s="291">
        <v>0</v>
      </c>
      <c r="AA27" s="291">
        <v>0</v>
      </c>
      <c r="AB27" s="291">
        <v>0</v>
      </c>
      <c r="AC27" s="291">
        <v>0</v>
      </c>
      <c r="AD27" s="291">
        <v>0</v>
      </c>
      <c r="AE27" s="291">
        <v>0</v>
      </c>
      <c r="AF27" s="291">
        <v>0</v>
      </c>
      <c r="AG27" s="291">
        <v>0</v>
      </c>
      <c r="AH27" s="291"/>
      <c r="AI27" s="291"/>
      <c r="AJ27" s="291"/>
      <c r="AK27" s="291"/>
      <c r="AL27" s="291"/>
      <c r="AM27" s="291">
        <v>800</v>
      </c>
      <c r="AN27" s="291">
        <v>2</v>
      </c>
      <c r="AO27" s="292">
        <v>3718</v>
      </c>
      <c r="AP27" s="291"/>
      <c r="AQ27" s="291"/>
      <c r="AR27" s="291" t="s">
        <v>243</v>
      </c>
      <c r="AS27" s="291">
        <v>12123.2</v>
      </c>
      <c r="AT27" s="291">
        <v>6061.6</v>
      </c>
      <c r="AU27" s="291">
        <v>3030.8</v>
      </c>
      <c r="AV27" s="299">
        <v>12123.2</v>
      </c>
      <c r="AW27" s="300" t="s">
        <v>772</v>
      </c>
      <c r="AX27" s="305">
        <v>-8405.2000000000007</v>
      </c>
      <c r="AY27" s="306" t="s">
        <v>772</v>
      </c>
      <c r="AZ27" s="307"/>
      <c r="BA27" s="303"/>
      <c r="BB27" s="307"/>
      <c r="BC27" s="308"/>
      <c r="BD27" s="307"/>
      <c r="BE27" s="304"/>
      <c r="BF27" s="307"/>
      <c r="BG27" s="309"/>
      <c r="BH27" s="307"/>
      <c r="BI27" s="309"/>
      <c r="BJ27" s="307"/>
      <c r="BK27" s="309"/>
      <c r="BL27" s="307"/>
      <c r="BM27" s="309"/>
      <c r="BN27" s="307"/>
      <c r="BO27" s="309"/>
      <c r="BP27" s="307"/>
      <c r="BQ27" s="309"/>
      <c r="BR27" s="307"/>
      <c r="BS27" s="309"/>
      <c r="BT27" s="292">
        <f>IF('Daten 2021'!$AW27="x",'Daten 2021'!$AV27,0)+IF('Daten 2021'!$AY27="x",'Daten 2021'!$AX27,0)+IF('Daten 2021'!$BA27="x",'Daten 2021'!$AZ27,0)+IF('Daten 2021'!$BC27="x",'Daten 2021'!$BB27,0)+IF('Daten 2021'!$BE27="x",'Daten 2021'!$BD27,0)+IF('Daten 2021'!$BG27="x",'Daten 2021'!$BF27,0)+IF('Daten 2021'!$BI27="x",'Daten 2021'!$BH27,0)+IF('Daten 2021'!$BK27="x",'Daten 2021'!$BJ27,0)+IF('Daten 2021'!$BM27="x",'Daten 2021'!$BL27,0)+IF('Daten 2021'!$BO27="x",'Daten 2021'!$BN27,0)+IF('Daten 2021'!$BQ27="x",'Daten 2021'!$BP27,0)+IF('Daten 2021'!$BS27="x",'Daten 2021'!$BR27,0)</f>
        <v>3718</v>
      </c>
      <c r="BU27" s="291" t="s">
        <v>244</v>
      </c>
      <c r="BV27" s="291"/>
      <c r="BW27" s="291"/>
      <c r="BX27" s="291"/>
      <c r="BY27" s="291"/>
      <c r="BZ27" s="291"/>
    </row>
    <row r="28" spans="1:78" x14ac:dyDescent="0.3">
      <c r="A28" s="289" t="s">
        <v>117</v>
      </c>
      <c r="B28" s="291" t="s">
        <v>214</v>
      </c>
      <c r="C28" s="289" t="s">
        <v>162</v>
      </c>
      <c r="D28" s="289" t="s">
        <v>271</v>
      </c>
      <c r="E28" s="289" t="s">
        <v>450</v>
      </c>
      <c r="F28" s="289" t="s">
        <v>360</v>
      </c>
      <c r="G28" s="289"/>
      <c r="H28" s="289"/>
      <c r="I28" s="289"/>
      <c r="J28" s="289">
        <v>0</v>
      </c>
      <c r="K28" s="289">
        <v>0</v>
      </c>
      <c r="L28" s="289">
        <v>0</v>
      </c>
      <c r="M28" s="289">
        <v>0</v>
      </c>
      <c r="N28" s="289">
        <v>0</v>
      </c>
      <c r="O28" s="289">
        <v>0</v>
      </c>
      <c r="P28" s="289">
        <v>0</v>
      </c>
      <c r="Q28" s="289">
        <v>0</v>
      </c>
      <c r="R28" s="289">
        <v>0</v>
      </c>
      <c r="S28" s="289">
        <v>10</v>
      </c>
      <c r="T28" s="289">
        <v>50</v>
      </c>
      <c r="U28" s="289">
        <v>8600</v>
      </c>
      <c r="V28" s="289">
        <v>0</v>
      </c>
      <c r="W28" s="289">
        <v>0</v>
      </c>
      <c r="X28" s="289">
        <v>0</v>
      </c>
      <c r="Y28" s="289">
        <v>0</v>
      </c>
      <c r="Z28" s="289">
        <v>0</v>
      </c>
      <c r="AA28" s="289">
        <v>0</v>
      </c>
      <c r="AB28" s="289">
        <v>0</v>
      </c>
      <c r="AC28" s="289">
        <v>0</v>
      </c>
      <c r="AD28" s="289">
        <v>0</v>
      </c>
      <c r="AE28" s="289">
        <v>0</v>
      </c>
      <c r="AF28" s="289">
        <v>0</v>
      </c>
      <c r="AG28" s="289">
        <v>0</v>
      </c>
      <c r="AH28" s="289"/>
      <c r="AI28" s="289"/>
      <c r="AJ28" s="289"/>
      <c r="AK28" s="289"/>
      <c r="AL28" s="289"/>
      <c r="AM28" s="289">
        <v>4000</v>
      </c>
      <c r="AN28" s="289">
        <v>10</v>
      </c>
      <c r="AO28" s="290">
        <v>12600</v>
      </c>
      <c r="AP28" s="289"/>
      <c r="AQ28" s="289"/>
      <c r="AR28" s="289" t="s">
        <v>243</v>
      </c>
      <c r="AS28" s="289">
        <v>10080</v>
      </c>
      <c r="AT28" s="289">
        <v>5040</v>
      </c>
      <c r="AU28" s="289">
        <v>2520</v>
      </c>
      <c r="AV28" s="299">
        <v>10080</v>
      </c>
      <c r="AW28" s="300" t="s">
        <v>772</v>
      </c>
      <c r="AX28" s="299">
        <v>2520</v>
      </c>
      <c r="AY28" s="301"/>
      <c r="AZ28" s="307"/>
      <c r="BA28" s="303"/>
      <c r="BB28" s="307"/>
      <c r="BC28" s="308"/>
      <c r="BD28" s="307"/>
      <c r="BE28" s="304"/>
      <c r="BF28" s="307"/>
      <c r="BG28" s="309"/>
      <c r="BH28" s="307"/>
      <c r="BI28" s="309"/>
      <c r="BJ28" s="307"/>
      <c r="BK28" s="309"/>
      <c r="BL28" s="307"/>
      <c r="BM28" s="309"/>
      <c r="BN28" s="307"/>
      <c r="BO28" s="309"/>
      <c r="BP28" s="307"/>
      <c r="BQ28" s="309"/>
      <c r="BR28" s="307"/>
      <c r="BS28" s="309"/>
      <c r="BT28" s="290">
        <f>IF('Daten 2021'!$AW28="x",'Daten 2021'!$AV28,0)+IF('Daten 2021'!$AY28="x",'Daten 2021'!$AX28,0)+IF('Daten 2021'!$BA28="x",'Daten 2021'!$AZ28,0)+IF('Daten 2021'!$BC28="x",'Daten 2021'!$BB28,0)+IF('Daten 2021'!$BE28="x",'Daten 2021'!$BD28,0)+IF('Daten 2021'!$BG28="x",'Daten 2021'!$BF28,0)+IF('Daten 2021'!$BI28="x",'Daten 2021'!$BH28,0)+IF('Daten 2021'!$BK28="x",'Daten 2021'!$BJ28,0)+IF('Daten 2021'!$BM28="x",'Daten 2021'!$BL28,0)+IF('Daten 2021'!$BO28="x",'Daten 2021'!$BN28,0)+IF('Daten 2021'!$BQ28="x",'Daten 2021'!$BP28,0)+IF('Daten 2021'!$BS28="x",'Daten 2021'!$BR28,0)</f>
        <v>10080</v>
      </c>
      <c r="BU28" s="289" t="s">
        <v>244</v>
      </c>
      <c r="BV28" s="289"/>
      <c r="BW28" s="289"/>
      <c r="BX28" s="289"/>
      <c r="BY28" s="289"/>
      <c r="BZ28" s="289"/>
    </row>
    <row r="29" spans="1:78" x14ac:dyDescent="0.3">
      <c r="A29" s="291" t="s">
        <v>37</v>
      </c>
      <c r="B29" s="291" t="s">
        <v>113</v>
      </c>
      <c r="C29" s="291" t="s">
        <v>163</v>
      </c>
      <c r="D29" s="291" t="s">
        <v>272</v>
      </c>
      <c r="E29" s="291" t="s">
        <v>451</v>
      </c>
      <c r="F29" s="291" t="s">
        <v>361</v>
      </c>
      <c r="G29" s="291"/>
      <c r="H29" s="291"/>
      <c r="I29" s="291"/>
      <c r="J29" s="291">
        <v>97</v>
      </c>
      <c r="K29" s="291">
        <v>11844</v>
      </c>
      <c r="L29" s="291">
        <v>185934</v>
      </c>
      <c r="M29" s="291">
        <v>278</v>
      </c>
      <c r="N29" s="291">
        <v>29096</v>
      </c>
      <c r="O29" s="291">
        <v>598860</v>
      </c>
      <c r="P29" s="291">
        <v>9</v>
      </c>
      <c r="Q29" s="291">
        <v>45</v>
      </c>
      <c r="R29" s="291">
        <v>7740</v>
      </c>
      <c r="S29" s="291">
        <v>8</v>
      </c>
      <c r="T29" s="291">
        <v>40</v>
      </c>
      <c r="U29" s="291">
        <v>6880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0</v>
      </c>
      <c r="AF29" s="291">
        <v>0</v>
      </c>
      <c r="AG29" s="291">
        <v>0</v>
      </c>
      <c r="AH29" s="291"/>
      <c r="AI29" s="291"/>
      <c r="AJ29" s="291"/>
      <c r="AK29" s="291"/>
      <c r="AL29" s="291"/>
      <c r="AM29" s="291">
        <v>107160</v>
      </c>
      <c r="AN29" s="291">
        <v>392</v>
      </c>
      <c r="AO29" s="292">
        <v>906574</v>
      </c>
      <c r="AP29" s="291"/>
      <c r="AQ29" s="291"/>
      <c r="AR29" s="291" t="s">
        <v>253</v>
      </c>
      <c r="AS29" s="291">
        <v>725259.20000000007</v>
      </c>
      <c r="AT29" s="291">
        <v>362629.60000000003</v>
      </c>
      <c r="AU29" s="291">
        <v>181314.80000000002</v>
      </c>
      <c r="AV29" s="299">
        <v>362629.6</v>
      </c>
      <c r="AW29" s="300" t="s">
        <v>772</v>
      </c>
      <c r="AX29" s="299">
        <v>362629.60000000003</v>
      </c>
      <c r="AY29" s="301" t="s">
        <v>772</v>
      </c>
      <c r="AZ29" s="299">
        <v>181314.80000000005</v>
      </c>
      <c r="BA29" s="301"/>
      <c r="BB29" s="307"/>
      <c r="BC29" s="308"/>
      <c r="BD29" s="307"/>
      <c r="BE29" s="304"/>
      <c r="BF29" s="307"/>
      <c r="BG29" s="309"/>
      <c r="BH29" s="307"/>
      <c r="BI29" s="309"/>
      <c r="BJ29" s="307"/>
      <c r="BK29" s="309"/>
      <c r="BL29" s="307"/>
      <c r="BM29" s="309"/>
      <c r="BN29" s="307"/>
      <c r="BO29" s="309"/>
      <c r="BP29" s="307"/>
      <c r="BQ29" s="309"/>
      <c r="BR29" s="307"/>
      <c r="BS29" s="309"/>
      <c r="BT29" s="292">
        <f>IF('Daten 2021'!$AW29="x",'Daten 2021'!$AV29,0)+IF('Daten 2021'!$AY29="x",'Daten 2021'!$AX29,0)+IF('Daten 2021'!$BA29="x",'Daten 2021'!$AZ29,0)+IF('Daten 2021'!$BC29="x",'Daten 2021'!$BB29,0)+IF('Daten 2021'!$BE29="x",'Daten 2021'!$BD29,0)+IF('Daten 2021'!$BG29="x",'Daten 2021'!$BF29,0)+IF('Daten 2021'!$BI29="x",'Daten 2021'!$BH29,0)+IF('Daten 2021'!$BK29="x",'Daten 2021'!$BJ29,0)+IF('Daten 2021'!$BM29="x",'Daten 2021'!$BL29,0)+IF('Daten 2021'!$BO29="x",'Daten 2021'!$BN29,0)+IF('Daten 2021'!$BQ29="x",'Daten 2021'!$BP29,0)+IF('Daten 2021'!$BS29="x",'Daten 2021'!$BR29,0)</f>
        <v>725259.2</v>
      </c>
      <c r="BU29" s="291" t="s">
        <v>244</v>
      </c>
      <c r="BV29" s="291"/>
      <c r="BW29" s="291"/>
      <c r="BX29" s="291"/>
      <c r="BY29" s="291"/>
      <c r="BZ29" s="291"/>
    </row>
    <row r="30" spans="1:78" x14ac:dyDescent="0.3">
      <c r="A30" s="289" t="s">
        <v>38</v>
      </c>
      <c r="B30" s="291" t="s">
        <v>120</v>
      </c>
      <c r="C30" s="289" t="s">
        <v>164</v>
      </c>
      <c r="D30" s="289" t="s">
        <v>273</v>
      </c>
      <c r="E30" s="289" t="s">
        <v>452</v>
      </c>
      <c r="F30" s="289" t="s">
        <v>362</v>
      </c>
      <c r="G30" s="289"/>
      <c r="H30" s="289"/>
      <c r="I30" s="289"/>
      <c r="J30" s="289">
        <v>8</v>
      </c>
      <c r="K30" s="289">
        <v>996</v>
      </c>
      <c r="L30" s="289">
        <v>15486</v>
      </c>
      <c r="M30" s="289">
        <v>9</v>
      </c>
      <c r="N30" s="289">
        <v>976</v>
      </c>
      <c r="O30" s="289">
        <v>19800</v>
      </c>
      <c r="P30" s="289">
        <v>6</v>
      </c>
      <c r="Q30" s="289">
        <v>30</v>
      </c>
      <c r="R30" s="289">
        <v>5160</v>
      </c>
      <c r="S30" s="289">
        <v>20</v>
      </c>
      <c r="T30" s="289">
        <v>100</v>
      </c>
      <c r="U30" s="289">
        <v>17200</v>
      </c>
      <c r="V30" s="289">
        <v>0</v>
      </c>
      <c r="W30" s="289">
        <v>0</v>
      </c>
      <c r="X30" s="289">
        <v>0</v>
      </c>
      <c r="Y30" s="289">
        <v>0</v>
      </c>
      <c r="Z30" s="289">
        <v>0</v>
      </c>
      <c r="AA30" s="289">
        <v>0</v>
      </c>
      <c r="AB30" s="289">
        <v>0</v>
      </c>
      <c r="AC30" s="289">
        <v>0</v>
      </c>
      <c r="AD30" s="289">
        <v>0</v>
      </c>
      <c r="AE30" s="289">
        <v>0</v>
      </c>
      <c r="AF30" s="289">
        <v>0</v>
      </c>
      <c r="AG30" s="289">
        <v>0</v>
      </c>
      <c r="AH30" s="289"/>
      <c r="AI30" s="289"/>
      <c r="AJ30" s="289"/>
      <c r="AK30" s="289"/>
      <c r="AL30" s="289"/>
      <c r="AM30" s="289">
        <v>17200</v>
      </c>
      <c r="AN30" s="289">
        <v>43</v>
      </c>
      <c r="AO30" s="290">
        <v>74846</v>
      </c>
      <c r="AP30" s="289"/>
      <c r="AQ30" s="289"/>
      <c r="AR30" s="289" t="s">
        <v>243</v>
      </c>
      <c r="AS30" s="289">
        <v>59876.800000000003</v>
      </c>
      <c r="AT30" s="289">
        <v>29938.400000000001</v>
      </c>
      <c r="AU30" s="289">
        <v>14969.2</v>
      </c>
      <c r="AV30" s="299">
        <v>59876.800000000003</v>
      </c>
      <c r="AW30" s="300" t="s">
        <v>772</v>
      </c>
      <c r="AX30" s="299">
        <v>14969.199999999997</v>
      </c>
      <c r="AY30" s="301"/>
      <c r="AZ30" s="307"/>
      <c r="BA30" s="303"/>
      <c r="BB30" s="307"/>
      <c r="BC30" s="308"/>
      <c r="BD30" s="307"/>
      <c r="BE30" s="304"/>
      <c r="BF30" s="307"/>
      <c r="BG30" s="309"/>
      <c r="BH30" s="307"/>
      <c r="BI30" s="309"/>
      <c r="BJ30" s="307"/>
      <c r="BK30" s="309"/>
      <c r="BL30" s="307"/>
      <c r="BM30" s="309"/>
      <c r="BN30" s="307"/>
      <c r="BO30" s="309"/>
      <c r="BP30" s="307"/>
      <c r="BQ30" s="309"/>
      <c r="BR30" s="307"/>
      <c r="BS30" s="309"/>
      <c r="BT30" s="290">
        <f>IF('Daten 2021'!$AW30="x",'Daten 2021'!$AV30,0)+IF('Daten 2021'!$AY30="x",'Daten 2021'!$AX30,0)+IF('Daten 2021'!$BA30="x",'Daten 2021'!$AZ30,0)+IF('Daten 2021'!$BC30="x",'Daten 2021'!$BB30,0)+IF('Daten 2021'!$BE30="x",'Daten 2021'!$BD30,0)+IF('Daten 2021'!$BG30="x",'Daten 2021'!$BF30,0)+IF('Daten 2021'!$BI30="x",'Daten 2021'!$BH30,0)+IF('Daten 2021'!$BK30="x",'Daten 2021'!$BJ30,0)+IF('Daten 2021'!$BM30="x",'Daten 2021'!$BL30,0)+IF('Daten 2021'!$BO30="x",'Daten 2021'!$BN30,0)+IF('Daten 2021'!$BQ30="x",'Daten 2021'!$BP30,0)+IF('Daten 2021'!$BS30="x",'Daten 2021'!$BR30,0)</f>
        <v>59876.800000000003</v>
      </c>
      <c r="BU30" s="289" t="s">
        <v>244</v>
      </c>
      <c r="BV30" s="289"/>
      <c r="BW30" s="289"/>
      <c r="BX30" s="289"/>
      <c r="BY30" s="289"/>
      <c r="BZ30" s="289"/>
    </row>
    <row r="31" spans="1:78" x14ac:dyDescent="0.3">
      <c r="A31" s="291" t="s">
        <v>129</v>
      </c>
      <c r="B31" s="291" t="s">
        <v>132</v>
      </c>
      <c r="C31" s="291" t="s">
        <v>165</v>
      </c>
      <c r="D31" s="291" t="s">
        <v>274</v>
      </c>
      <c r="E31" s="291" t="s">
        <v>453</v>
      </c>
      <c r="F31" s="291" t="s">
        <v>815</v>
      </c>
      <c r="G31" s="291"/>
      <c r="H31" s="291" t="s">
        <v>363</v>
      </c>
      <c r="I31" s="291"/>
      <c r="J31" s="291">
        <v>0</v>
      </c>
      <c r="K31" s="291">
        <v>0</v>
      </c>
      <c r="L31" s="291">
        <v>0</v>
      </c>
      <c r="M31" s="291">
        <v>1</v>
      </c>
      <c r="N31" s="291">
        <v>106</v>
      </c>
      <c r="O31" s="291">
        <v>2061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1">
        <v>0</v>
      </c>
      <c r="AA31" s="291">
        <v>0</v>
      </c>
      <c r="AB31" s="291">
        <v>0</v>
      </c>
      <c r="AC31" s="291">
        <v>0</v>
      </c>
      <c r="AD31" s="291">
        <v>0</v>
      </c>
      <c r="AE31" s="291">
        <v>0</v>
      </c>
      <c r="AF31" s="291">
        <v>0</v>
      </c>
      <c r="AG31" s="291">
        <v>0</v>
      </c>
      <c r="AH31" s="291"/>
      <c r="AI31" s="291"/>
      <c r="AJ31" s="291"/>
      <c r="AK31" s="291"/>
      <c r="AL31" s="291"/>
      <c r="AM31" s="291">
        <v>400</v>
      </c>
      <c r="AN31" s="291">
        <v>1</v>
      </c>
      <c r="AO31" s="292">
        <v>2461</v>
      </c>
      <c r="AP31" s="291"/>
      <c r="AQ31" s="291"/>
      <c r="AR31" s="291" t="s">
        <v>243</v>
      </c>
      <c r="AS31" s="291">
        <v>12700.800000000001</v>
      </c>
      <c r="AT31" s="291">
        <v>6350.4000000000005</v>
      </c>
      <c r="AU31" s="291">
        <v>3175.2000000000003</v>
      </c>
      <c r="AV31" s="299">
        <v>12700.8</v>
      </c>
      <c r="AW31" s="300" t="s">
        <v>772</v>
      </c>
      <c r="AX31" s="312">
        <v>-10239.799999999999</v>
      </c>
      <c r="AY31" s="313" t="s">
        <v>772</v>
      </c>
      <c r="AZ31" s="307"/>
      <c r="BA31" s="303"/>
      <c r="BB31" s="307"/>
      <c r="BC31" s="308"/>
      <c r="BD31" s="307"/>
      <c r="BE31" s="304"/>
      <c r="BF31" s="307"/>
      <c r="BG31" s="309"/>
      <c r="BH31" s="307"/>
      <c r="BI31" s="309"/>
      <c r="BJ31" s="307"/>
      <c r="BK31" s="309"/>
      <c r="BL31" s="307"/>
      <c r="BM31" s="309"/>
      <c r="BN31" s="307"/>
      <c r="BO31" s="309"/>
      <c r="BP31" s="307"/>
      <c r="BQ31" s="309"/>
      <c r="BR31" s="307"/>
      <c r="BS31" s="309"/>
      <c r="BT31" s="292">
        <f>IF('Daten 2021'!$AW31="x",'Daten 2021'!$AV31,0)+IF('Daten 2021'!$AY31="x",'Daten 2021'!$AX31,0)+IF('Daten 2021'!$BA31="x",'Daten 2021'!$AZ31,0)+IF('Daten 2021'!$BC31="x",'Daten 2021'!$BB31,0)+IF('Daten 2021'!$BE31="x",'Daten 2021'!$BD31,0)+IF('Daten 2021'!$BG31="x",'Daten 2021'!$BF31,0)+IF('Daten 2021'!$BI31="x",'Daten 2021'!$BH31,0)+IF('Daten 2021'!$BK31="x",'Daten 2021'!$BJ31,0)+IF('Daten 2021'!$BM31="x",'Daten 2021'!$BL31,0)+IF('Daten 2021'!$BO31="x",'Daten 2021'!$BN31,0)+IF('Daten 2021'!$BQ31="x",'Daten 2021'!$BP31,0)+IF('Daten 2021'!$BS31="x",'Daten 2021'!$BR31,0)</f>
        <v>2461</v>
      </c>
      <c r="BU31" s="291" t="s">
        <v>244</v>
      </c>
      <c r="BV31" s="291"/>
      <c r="BW31" s="291"/>
      <c r="BX31" s="291"/>
      <c r="BY31" s="291"/>
      <c r="BZ31" s="291"/>
    </row>
    <row r="32" spans="1:78" x14ac:dyDescent="0.3">
      <c r="A32" s="289" t="s">
        <v>39</v>
      </c>
      <c r="B32" s="291" t="s">
        <v>95</v>
      </c>
      <c r="C32" s="289" t="s">
        <v>166</v>
      </c>
      <c r="D32" s="289" t="s">
        <v>275</v>
      </c>
      <c r="E32" s="289" t="s">
        <v>454</v>
      </c>
      <c r="F32" s="289" t="s">
        <v>364</v>
      </c>
      <c r="G32" s="289"/>
      <c r="H32" s="289"/>
      <c r="I32" s="289"/>
      <c r="J32" s="289">
        <v>142</v>
      </c>
      <c r="K32" s="289">
        <v>25347</v>
      </c>
      <c r="L32" s="289">
        <v>372597.98</v>
      </c>
      <c r="M32" s="289">
        <v>24</v>
      </c>
      <c r="N32" s="289">
        <v>2686</v>
      </c>
      <c r="O32" s="289">
        <v>52380</v>
      </c>
      <c r="P32" s="289">
        <v>3</v>
      </c>
      <c r="Q32" s="289">
        <v>15</v>
      </c>
      <c r="R32" s="289">
        <v>2580</v>
      </c>
      <c r="S32" s="289">
        <v>2</v>
      </c>
      <c r="T32" s="289">
        <v>10</v>
      </c>
      <c r="U32" s="289">
        <v>1720</v>
      </c>
      <c r="V32" s="289">
        <v>0</v>
      </c>
      <c r="W32" s="289">
        <v>0</v>
      </c>
      <c r="X32" s="289">
        <v>0</v>
      </c>
      <c r="Y32" s="289">
        <v>0</v>
      </c>
      <c r="Z32" s="289">
        <v>0</v>
      </c>
      <c r="AA32" s="289">
        <v>0</v>
      </c>
      <c r="AB32" s="289">
        <v>0</v>
      </c>
      <c r="AC32" s="289">
        <v>0</v>
      </c>
      <c r="AD32" s="289">
        <v>0</v>
      </c>
      <c r="AE32" s="289">
        <v>0</v>
      </c>
      <c r="AF32" s="289">
        <v>0</v>
      </c>
      <c r="AG32" s="289">
        <v>0</v>
      </c>
      <c r="AH32" s="289"/>
      <c r="AI32" s="289"/>
      <c r="AJ32" s="289"/>
      <c r="AK32" s="289"/>
      <c r="AL32" s="289"/>
      <c r="AM32" s="289">
        <v>56330</v>
      </c>
      <c r="AN32" s="289">
        <v>171</v>
      </c>
      <c r="AO32" s="290">
        <v>485607.98</v>
      </c>
      <c r="AP32" s="289"/>
      <c r="AQ32" s="289"/>
      <c r="AR32" s="289" t="s">
        <v>243</v>
      </c>
      <c r="AS32" s="289">
        <v>301227.2</v>
      </c>
      <c r="AT32" s="289">
        <v>150613.6</v>
      </c>
      <c r="AU32" s="289">
        <v>75306.8</v>
      </c>
      <c r="AV32" s="299">
        <v>301227.2</v>
      </c>
      <c r="AW32" s="300" t="s">
        <v>772</v>
      </c>
      <c r="AX32" s="299">
        <v>75306.8</v>
      </c>
      <c r="AY32" s="301" t="s">
        <v>772</v>
      </c>
      <c r="AZ32" s="305">
        <v>48723.664000000019</v>
      </c>
      <c r="BA32" s="306" t="s">
        <v>772</v>
      </c>
      <c r="BB32" s="321">
        <v>12180.916000000027</v>
      </c>
      <c r="BC32" s="306" t="s">
        <v>772</v>
      </c>
      <c r="BD32" s="322">
        <v>38535.519999999997</v>
      </c>
      <c r="BE32" s="324" t="s">
        <v>772</v>
      </c>
      <c r="BF32" s="327">
        <v>9633.8799999999101</v>
      </c>
      <c r="BG32" s="328"/>
      <c r="BH32" s="307"/>
      <c r="BI32" s="309"/>
      <c r="BJ32" s="307"/>
      <c r="BK32" s="309"/>
      <c r="BL32" s="307"/>
      <c r="BM32" s="309"/>
      <c r="BN32" s="307"/>
      <c r="BO32" s="309"/>
      <c r="BP32" s="307"/>
      <c r="BQ32" s="309"/>
      <c r="BR32" s="307"/>
      <c r="BS32" s="309"/>
      <c r="BT32" s="290">
        <f>IF('Daten 2021'!$AW32="x",'Daten 2021'!$AV32,0)+IF('Daten 2021'!$AY32="x",'Daten 2021'!$AX32,0)+IF('Daten 2021'!$BA32="x",'Daten 2021'!$AZ32,0)+IF('Daten 2021'!$BC32="x",'Daten 2021'!$BB32,0)+IF('Daten 2021'!$BE32="x",'Daten 2021'!$BD32,0)+IF('Daten 2021'!$BG32="x",'Daten 2021'!$BF32,0)+IF('Daten 2021'!$BI32="x",'Daten 2021'!$BH32,0)+IF('Daten 2021'!$BK32="x",'Daten 2021'!$BJ32,0)+IF('Daten 2021'!$BM32="x",'Daten 2021'!$BL32,0)+IF('Daten 2021'!$BO32="x",'Daten 2021'!$BN32,0)+IF('Daten 2021'!$BQ32="x",'Daten 2021'!$BP32,0)+IF('Daten 2021'!$BS32="x",'Daten 2021'!$BR32,0)</f>
        <v>475974.10000000003</v>
      </c>
      <c r="BU32" s="289" t="s">
        <v>244</v>
      </c>
      <c r="BV32" s="289"/>
      <c r="BW32" s="289"/>
      <c r="BX32" s="289"/>
      <c r="BY32" s="289"/>
      <c r="BZ32" s="289"/>
    </row>
    <row r="33" spans="1:78" x14ac:dyDescent="0.3">
      <c r="A33" s="291" t="s">
        <v>40</v>
      </c>
      <c r="B33" s="291" t="s">
        <v>133</v>
      </c>
      <c r="C33" s="291" t="s">
        <v>167</v>
      </c>
      <c r="D33" s="291" t="s">
        <v>276</v>
      </c>
      <c r="E33" s="291" t="s">
        <v>455</v>
      </c>
      <c r="F33" s="291" t="s">
        <v>365</v>
      </c>
      <c r="G33" s="291"/>
      <c r="H33" s="291"/>
      <c r="I33" s="291"/>
      <c r="J33" s="291">
        <v>33</v>
      </c>
      <c r="K33" s="291">
        <v>4124</v>
      </c>
      <c r="L33" s="291">
        <v>64002</v>
      </c>
      <c r="M33" s="291">
        <v>26</v>
      </c>
      <c r="N33" s="291">
        <v>2808</v>
      </c>
      <c r="O33" s="291">
        <v>57060</v>
      </c>
      <c r="P33" s="291">
        <v>11</v>
      </c>
      <c r="Q33" s="291">
        <v>55</v>
      </c>
      <c r="R33" s="291">
        <v>9460</v>
      </c>
      <c r="S33" s="291">
        <v>8</v>
      </c>
      <c r="T33" s="291">
        <v>40</v>
      </c>
      <c r="U33" s="291">
        <v>6880</v>
      </c>
      <c r="V33" s="291">
        <v>15</v>
      </c>
      <c r="W33" s="291">
        <v>6000</v>
      </c>
      <c r="X33" s="291">
        <v>15</v>
      </c>
      <c r="Y33" s="291">
        <v>6000</v>
      </c>
      <c r="Z33" s="291">
        <v>0</v>
      </c>
      <c r="AA33" s="291">
        <v>0</v>
      </c>
      <c r="AB33" s="291">
        <v>0</v>
      </c>
      <c r="AC33" s="291">
        <v>0</v>
      </c>
      <c r="AD33" s="291">
        <v>0</v>
      </c>
      <c r="AE33" s="291">
        <v>0</v>
      </c>
      <c r="AF33" s="291">
        <v>0</v>
      </c>
      <c r="AG33" s="291">
        <v>0</v>
      </c>
      <c r="AH33" s="291"/>
      <c r="AI33" s="291"/>
      <c r="AJ33" s="291"/>
      <c r="AK33" s="291"/>
      <c r="AL33" s="291"/>
      <c r="AM33" s="291">
        <v>31200</v>
      </c>
      <c r="AN33" s="291">
        <v>78</v>
      </c>
      <c r="AO33" s="292">
        <v>180602</v>
      </c>
      <c r="AP33" s="291"/>
      <c r="AQ33" s="291"/>
      <c r="AR33" s="291" t="s">
        <v>243</v>
      </c>
      <c r="AS33" s="291">
        <v>144481.60000000001</v>
      </c>
      <c r="AT33" s="291">
        <v>72240.800000000003</v>
      </c>
      <c r="AU33" s="291">
        <v>36120.400000000001</v>
      </c>
      <c r="AV33" s="299">
        <v>144481.60000000001</v>
      </c>
      <c r="AW33" s="300" t="s">
        <v>772</v>
      </c>
      <c r="AX33" s="299">
        <v>36120.399999999994</v>
      </c>
      <c r="AY33" s="301"/>
      <c r="AZ33" s="307"/>
      <c r="BA33" s="303"/>
      <c r="BB33" s="329"/>
      <c r="BC33" s="330"/>
      <c r="BD33" s="307"/>
      <c r="BE33" s="304"/>
      <c r="BF33" s="307"/>
      <c r="BG33" s="309"/>
      <c r="BH33" s="307"/>
      <c r="BI33" s="309"/>
      <c r="BJ33" s="307"/>
      <c r="BK33" s="309"/>
      <c r="BL33" s="307"/>
      <c r="BM33" s="309"/>
      <c r="BN33" s="307"/>
      <c r="BO33" s="309"/>
      <c r="BP33" s="307"/>
      <c r="BQ33" s="309"/>
      <c r="BR33" s="307"/>
      <c r="BS33" s="309"/>
      <c r="BT33" s="292">
        <f>IF('Daten 2021'!$AW33="x",'Daten 2021'!$AV33,0)+IF('Daten 2021'!$AY33="x",'Daten 2021'!$AX33,0)+IF('Daten 2021'!$BA33="x",'Daten 2021'!$AZ33,0)+IF('Daten 2021'!$BC33="x",'Daten 2021'!$BB33,0)+IF('Daten 2021'!$BE33="x",'Daten 2021'!$BD33,0)+IF('Daten 2021'!$BG33="x",'Daten 2021'!$BF33,0)+IF('Daten 2021'!$BI33="x",'Daten 2021'!$BH33,0)+IF('Daten 2021'!$BK33="x",'Daten 2021'!$BJ33,0)+IF('Daten 2021'!$BM33="x",'Daten 2021'!$BL33,0)+IF('Daten 2021'!$BO33="x",'Daten 2021'!$BN33,0)+IF('Daten 2021'!$BQ33="x",'Daten 2021'!$BP33,0)+IF('Daten 2021'!$BS33="x",'Daten 2021'!$BR33,0)</f>
        <v>144481.60000000001</v>
      </c>
      <c r="BU33" s="291" t="s">
        <v>244</v>
      </c>
      <c r="BV33" s="291"/>
      <c r="BW33" s="291"/>
      <c r="BX33" s="291"/>
      <c r="BY33" s="291"/>
      <c r="BZ33" s="291"/>
    </row>
    <row r="34" spans="1:78" x14ac:dyDescent="0.3">
      <c r="A34" s="289" t="s">
        <v>41</v>
      </c>
      <c r="B34" s="291" t="s">
        <v>96</v>
      </c>
      <c r="C34" s="289" t="s">
        <v>168</v>
      </c>
      <c r="D34" s="289" t="s">
        <v>277</v>
      </c>
      <c r="E34" s="289" t="s">
        <v>456</v>
      </c>
      <c r="F34" s="289" t="s">
        <v>366</v>
      </c>
      <c r="G34" s="289"/>
      <c r="H34" s="289"/>
      <c r="I34" s="289"/>
      <c r="J34" s="289">
        <v>134</v>
      </c>
      <c r="K34" s="289">
        <v>20592</v>
      </c>
      <c r="L34" s="289">
        <v>302697</v>
      </c>
      <c r="M34" s="289">
        <v>17</v>
      </c>
      <c r="N34" s="289">
        <v>2107</v>
      </c>
      <c r="O34" s="289">
        <v>41094</v>
      </c>
      <c r="P34" s="289">
        <v>0</v>
      </c>
      <c r="Q34" s="289">
        <v>0</v>
      </c>
      <c r="R34" s="289">
        <v>0</v>
      </c>
      <c r="S34" s="289">
        <v>0</v>
      </c>
      <c r="T34" s="289">
        <v>0</v>
      </c>
      <c r="U34" s="289">
        <v>0</v>
      </c>
      <c r="V34" s="289">
        <v>0</v>
      </c>
      <c r="W34" s="289">
        <v>0</v>
      </c>
      <c r="X34" s="289">
        <v>0</v>
      </c>
      <c r="Y34" s="289">
        <v>0</v>
      </c>
      <c r="Z34" s="289">
        <v>0</v>
      </c>
      <c r="AA34" s="289">
        <v>0</v>
      </c>
      <c r="AB34" s="289">
        <v>0</v>
      </c>
      <c r="AC34" s="289">
        <v>0</v>
      </c>
      <c r="AD34" s="289">
        <v>0</v>
      </c>
      <c r="AE34" s="289">
        <v>0</v>
      </c>
      <c r="AF34" s="289">
        <v>0</v>
      </c>
      <c r="AG34" s="289">
        <v>0</v>
      </c>
      <c r="AH34" s="289"/>
      <c r="AI34" s="289"/>
      <c r="AJ34" s="289"/>
      <c r="AK34" s="289"/>
      <c r="AL34" s="289"/>
      <c r="AM34" s="289">
        <v>51730</v>
      </c>
      <c r="AN34" s="289">
        <v>151</v>
      </c>
      <c r="AO34" s="290">
        <v>395521</v>
      </c>
      <c r="AP34" s="289"/>
      <c r="AQ34" s="289"/>
      <c r="AR34" s="289" t="s">
        <v>243</v>
      </c>
      <c r="AS34" s="289">
        <v>225782.40000000002</v>
      </c>
      <c r="AT34" s="289">
        <v>112891.20000000001</v>
      </c>
      <c r="AU34" s="289">
        <v>56445.600000000006</v>
      </c>
      <c r="AV34" s="299">
        <v>225782.39999999999</v>
      </c>
      <c r="AW34" s="300" t="s">
        <v>772</v>
      </c>
      <c r="AX34" s="299">
        <v>56445.599999999999</v>
      </c>
      <c r="AY34" s="301" t="s">
        <v>772</v>
      </c>
      <c r="AZ34" s="305">
        <v>84351.200000000012</v>
      </c>
      <c r="BA34" s="306" t="s">
        <v>772</v>
      </c>
      <c r="BB34" s="318">
        <v>6283.2</v>
      </c>
      <c r="BC34" s="331" t="s">
        <v>772</v>
      </c>
      <c r="BD34" s="322">
        <v>22658.600000000006</v>
      </c>
      <c r="BE34" s="324"/>
      <c r="BF34" s="307"/>
      <c r="BG34" s="309"/>
      <c r="BH34" s="307"/>
      <c r="BI34" s="309"/>
      <c r="BJ34" s="307"/>
      <c r="BK34" s="309"/>
      <c r="BL34" s="307"/>
      <c r="BM34" s="309"/>
      <c r="BN34" s="307"/>
      <c r="BO34" s="309"/>
      <c r="BP34" s="307"/>
      <c r="BQ34" s="309"/>
      <c r="BR34" s="307"/>
      <c r="BS34" s="309"/>
      <c r="BT34" s="290">
        <f>IF('Daten 2021'!$AW34="x",'Daten 2021'!$AV34,0)+IF('Daten 2021'!$AY34="x",'Daten 2021'!$AX34,0)+IF('Daten 2021'!$BA34="x",'Daten 2021'!$AZ34,0)+IF('Daten 2021'!$BC34="x",'Daten 2021'!$BB34,0)+IF('Daten 2021'!$BE34="x",'Daten 2021'!$BD34,0)+IF('Daten 2021'!$BG34="x",'Daten 2021'!$BF34,0)+IF('Daten 2021'!$BI34="x",'Daten 2021'!$BH34,0)+IF('Daten 2021'!$BK34="x",'Daten 2021'!$BJ34,0)+IF('Daten 2021'!$BM34="x",'Daten 2021'!$BL34,0)+IF('Daten 2021'!$BO34="x",'Daten 2021'!$BN34,0)+IF('Daten 2021'!$BQ34="x",'Daten 2021'!$BP34,0)+IF('Daten 2021'!$BS34="x",'Daten 2021'!$BR34,0)</f>
        <v>372862.4</v>
      </c>
      <c r="BU34" s="289" t="s">
        <v>244</v>
      </c>
      <c r="BV34" s="289"/>
      <c r="BW34" s="289"/>
      <c r="BX34" s="289"/>
      <c r="BY34" s="289"/>
      <c r="BZ34" s="289"/>
    </row>
    <row r="35" spans="1:78" x14ac:dyDescent="0.3">
      <c r="A35" s="291" t="s">
        <v>42</v>
      </c>
      <c r="B35" s="291" t="s">
        <v>121</v>
      </c>
      <c r="C35" s="291" t="s">
        <v>169</v>
      </c>
      <c r="D35" s="291" t="s">
        <v>278</v>
      </c>
      <c r="E35" s="291" t="s">
        <v>457</v>
      </c>
      <c r="F35" s="291" t="s">
        <v>816</v>
      </c>
      <c r="G35" s="291"/>
      <c r="H35" s="291"/>
      <c r="I35" s="291"/>
      <c r="J35" s="291">
        <v>32</v>
      </c>
      <c r="K35" s="291">
        <v>5063</v>
      </c>
      <c r="L35" s="291">
        <v>74429</v>
      </c>
      <c r="M35" s="291">
        <v>9</v>
      </c>
      <c r="N35" s="291">
        <v>1500</v>
      </c>
      <c r="O35" s="291">
        <v>29259</v>
      </c>
      <c r="P35" s="291">
        <v>0</v>
      </c>
      <c r="Q35" s="291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1">
        <v>0</v>
      </c>
      <c r="Y35" s="291">
        <v>0</v>
      </c>
      <c r="Z35" s="291">
        <v>0</v>
      </c>
      <c r="AA35" s="291">
        <v>0</v>
      </c>
      <c r="AB35" s="291">
        <v>0</v>
      </c>
      <c r="AC35" s="291">
        <v>0</v>
      </c>
      <c r="AD35" s="291">
        <v>0</v>
      </c>
      <c r="AE35" s="291">
        <v>0</v>
      </c>
      <c r="AF35" s="291">
        <v>0</v>
      </c>
      <c r="AG35" s="291">
        <v>0</v>
      </c>
      <c r="AH35" s="291"/>
      <c r="AI35" s="291"/>
      <c r="AJ35" s="291"/>
      <c r="AK35" s="291"/>
      <c r="AL35" s="291"/>
      <c r="AM35" s="291">
        <v>16400</v>
      </c>
      <c r="AN35" s="291">
        <v>41</v>
      </c>
      <c r="AO35" s="292">
        <v>120088</v>
      </c>
      <c r="AP35" s="291"/>
      <c r="AQ35" s="291"/>
      <c r="AR35" s="291" t="s">
        <v>243</v>
      </c>
      <c r="AS35" s="291">
        <v>101190.40000000001</v>
      </c>
      <c r="AT35" s="291">
        <v>50595.200000000004</v>
      </c>
      <c r="AU35" s="291">
        <v>25297.600000000002</v>
      </c>
      <c r="AV35" s="299">
        <v>101190.39999999999</v>
      </c>
      <c r="AW35" s="300" t="s">
        <v>772</v>
      </c>
      <c r="AX35" s="312">
        <v>18897.599999999999</v>
      </c>
      <c r="AY35" s="313" t="s">
        <v>772</v>
      </c>
      <c r="AZ35" s="307"/>
      <c r="BA35" s="303"/>
      <c r="BB35" s="307"/>
      <c r="BC35" s="308"/>
      <c r="BD35" s="307"/>
      <c r="BE35" s="304"/>
      <c r="BF35" s="307"/>
      <c r="BG35" s="309"/>
      <c r="BH35" s="307"/>
      <c r="BI35" s="309"/>
      <c r="BJ35" s="307"/>
      <c r="BK35" s="309"/>
      <c r="BL35" s="307"/>
      <c r="BM35" s="309"/>
      <c r="BN35" s="307"/>
      <c r="BO35" s="309"/>
      <c r="BP35" s="307"/>
      <c r="BQ35" s="309"/>
      <c r="BR35" s="307"/>
      <c r="BS35" s="309"/>
      <c r="BT35" s="292">
        <f>IF('Daten 2021'!$AW35="x",'Daten 2021'!$AV35,0)+IF('Daten 2021'!$AY35="x",'Daten 2021'!$AX35,0)+IF('Daten 2021'!$BA35="x",'Daten 2021'!$AZ35,0)+IF('Daten 2021'!$BC35="x",'Daten 2021'!$BB35,0)+IF('Daten 2021'!$BE35="x",'Daten 2021'!$BD35,0)+IF('Daten 2021'!$BG35="x",'Daten 2021'!$BF35,0)+IF('Daten 2021'!$BI35="x",'Daten 2021'!$BH35,0)+IF('Daten 2021'!$BK35="x",'Daten 2021'!$BJ35,0)+IF('Daten 2021'!$BM35="x",'Daten 2021'!$BL35,0)+IF('Daten 2021'!$BO35="x",'Daten 2021'!$BN35,0)+IF('Daten 2021'!$BQ35="x",'Daten 2021'!$BP35,0)+IF('Daten 2021'!$BS35="x",'Daten 2021'!$BR35,0)</f>
        <v>120088</v>
      </c>
      <c r="BU35" s="291" t="s">
        <v>244</v>
      </c>
      <c r="BV35" s="291"/>
      <c r="BW35" s="291"/>
      <c r="BX35" s="291"/>
      <c r="BY35" s="291"/>
      <c r="BZ35" s="291"/>
    </row>
    <row r="36" spans="1:78" x14ac:dyDescent="0.3">
      <c r="A36" s="289" t="s">
        <v>43</v>
      </c>
      <c r="B36" s="291" t="s">
        <v>279</v>
      </c>
      <c r="C36" s="289" t="s">
        <v>170</v>
      </c>
      <c r="D36" s="289" t="s">
        <v>280</v>
      </c>
      <c r="E36" s="289" t="s">
        <v>458</v>
      </c>
      <c r="F36" s="289" t="s">
        <v>367</v>
      </c>
      <c r="G36" s="289"/>
      <c r="H36" s="289"/>
      <c r="I36" s="289"/>
      <c r="J36" s="289">
        <v>0</v>
      </c>
      <c r="K36" s="289">
        <v>0</v>
      </c>
      <c r="L36" s="289">
        <v>0</v>
      </c>
      <c r="M36" s="289">
        <v>0</v>
      </c>
      <c r="N36" s="289">
        <v>0</v>
      </c>
      <c r="O36" s="289">
        <v>0</v>
      </c>
      <c r="P36" s="289">
        <v>10</v>
      </c>
      <c r="Q36" s="289">
        <v>50</v>
      </c>
      <c r="R36" s="289">
        <v>8600</v>
      </c>
      <c r="S36" s="289">
        <v>3</v>
      </c>
      <c r="T36" s="289">
        <v>15</v>
      </c>
      <c r="U36" s="289">
        <v>2580</v>
      </c>
      <c r="V36" s="289">
        <v>20</v>
      </c>
      <c r="W36" s="289">
        <v>8000</v>
      </c>
      <c r="X36" s="289">
        <v>0</v>
      </c>
      <c r="Y36" s="289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289">
        <v>0</v>
      </c>
      <c r="AF36" s="289">
        <v>0</v>
      </c>
      <c r="AG36" s="289">
        <v>0</v>
      </c>
      <c r="AH36" s="289"/>
      <c r="AI36" s="289"/>
      <c r="AJ36" s="289"/>
      <c r="AK36" s="289"/>
      <c r="AL36" s="289"/>
      <c r="AM36" s="289">
        <v>5200</v>
      </c>
      <c r="AN36" s="289">
        <v>13</v>
      </c>
      <c r="AO36" s="290">
        <v>24380</v>
      </c>
      <c r="AP36" s="289"/>
      <c r="AQ36" s="289"/>
      <c r="AR36" s="289" t="s">
        <v>243</v>
      </c>
      <c r="AS36" s="289">
        <v>19504</v>
      </c>
      <c r="AT36" s="289">
        <v>9752</v>
      </c>
      <c r="AU36" s="289">
        <v>4876</v>
      </c>
      <c r="AV36" s="299">
        <v>19504</v>
      </c>
      <c r="AW36" s="300" t="s">
        <v>772</v>
      </c>
      <c r="AX36" s="299">
        <v>4876</v>
      </c>
      <c r="AY36" s="301"/>
      <c r="AZ36" s="307"/>
      <c r="BA36" s="303"/>
      <c r="BB36" s="307"/>
      <c r="BC36" s="308"/>
      <c r="BD36" s="307"/>
      <c r="BE36" s="304"/>
      <c r="BF36" s="307"/>
      <c r="BG36" s="309"/>
      <c r="BH36" s="307"/>
      <c r="BI36" s="309"/>
      <c r="BJ36" s="307"/>
      <c r="BK36" s="309"/>
      <c r="BL36" s="307"/>
      <c r="BM36" s="309"/>
      <c r="BN36" s="307"/>
      <c r="BO36" s="309"/>
      <c r="BP36" s="307"/>
      <c r="BQ36" s="309"/>
      <c r="BR36" s="307"/>
      <c r="BS36" s="309"/>
      <c r="BT36" s="290">
        <f>IF('Daten 2021'!$AW36="x",'Daten 2021'!$AV36,0)+IF('Daten 2021'!$AY36="x",'Daten 2021'!$AX36,0)+IF('Daten 2021'!$BA36="x",'Daten 2021'!$AZ36,0)+IF('Daten 2021'!$BC36="x",'Daten 2021'!$BB36,0)+IF('Daten 2021'!$BE36="x",'Daten 2021'!$BD36,0)+IF('Daten 2021'!$BG36="x",'Daten 2021'!$BF36,0)+IF('Daten 2021'!$BI36="x",'Daten 2021'!$BH36,0)+IF('Daten 2021'!$BK36="x",'Daten 2021'!$BJ36,0)+IF('Daten 2021'!$BM36="x",'Daten 2021'!$BL36,0)+IF('Daten 2021'!$BO36="x",'Daten 2021'!$BN36,0)+IF('Daten 2021'!$BQ36="x",'Daten 2021'!$BP36,0)+IF('Daten 2021'!$BS36="x",'Daten 2021'!$BR36,0)</f>
        <v>19504</v>
      </c>
      <c r="BU36" s="289" t="s">
        <v>244</v>
      </c>
      <c r="BV36" s="289"/>
      <c r="BW36" s="289"/>
      <c r="BX36" s="289"/>
      <c r="BY36" s="289"/>
      <c r="BZ36" s="289"/>
    </row>
    <row r="37" spans="1:78" x14ac:dyDescent="0.3">
      <c r="A37" s="291" t="s">
        <v>44</v>
      </c>
      <c r="B37" s="291" t="s">
        <v>122</v>
      </c>
      <c r="C37" s="291" t="s">
        <v>171</v>
      </c>
      <c r="D37" s="291" t="s">
        <v>281</v>
      </c>
      <c r="E37" s="291" t="s">
        <v>459</v>
      </c>
      <c r="F37" s="291" t="s">
        <v>368</v>
      </c>
      <c r="G37" s="291"/>
      <c r="H37" s="291"/>
      <c r="I37" s="291"/>
      <c r="J37" s="291">
        <v>32</v>
      </c>
      <c r="K37" s="291">
        <v>4433</v>
      </c>
      <c r="L37" s="291">
        <v>65162.33</v>
      </c>
      <c r="M37" s="291">
        <v>7</v>
      </c>
      <c r="N37" s="291">
        <v>605</v>
      </c>
      <c r="O37" s="291">
        <v>11798.67</v>
      </c>
      <c r="P37" s="291">
        <v>25</v>
      </c>
      <c r="Q37" s="291">
        <v>127</v>
      </c>
      <c r="R37" s="291">
        <v>21710</v>
      </c>
      <c r="S37" s="291">
        <v>0</v>
      </c>
      <c r="T37" s="291">
        <v>0</v>
      </c>
      <c r="U37" s="291">
        <v>0</v>
      </c>
      <c r="V37" s="291">
        <v>15</v>
      </c>
      <c r="W37" s="291">
        <v>6000</v>
      </c>
      <c r="X37" s="291">
        <v>0</v>
      </c>
      <c r="Y37" s="291">
        <v>0</v>
      </c>
      <c r="Z37" s="291">
        <v>0</v>
      </c>
      <c r="AA37" s="291">
        <v>0</v>
      </c>
      <c r="AB37" s="291">
        <v>0</v>
      </c>
      <c r="AC37" s="291">
        <v>0</v>
      </c>
      <c r="AD37" s="291">
        <v>0</v>
      </c>
      <c r="AE37" s="291">
        <v>0</v>
      </c>
      <c r="AF37" s="291">
        <v>0</v>
      </c>
      <c r="AG37" s="291">
        <v>0</v>
      </c>
      <c r="AH37" s="291"/>
      <c r="AI37" s="291"/>
      <c r="AJ37" s="291"/>
      <c r="AK37" s="291"/>
      <c r="AL37" s="291"/>
      <c r="AM37" s="291">
        <v>25600</v>
      </c>
      <c r="AN37" s="291">
        <v>64</v>
      </c>
      <c r="AO37" s="292">
        <v>130271</v>
      </c>
      <c r="AP37" s="291"/>
      <c r="AQ37" s="291"/>
      <c r="AR37" s="291" t="s">
        <v>243</v>
      </c>
      <c r="AS37" s="291">
        <v>95611.200000000012</v>
      </c>
      <c r="AT37" s="291">
        <v>47805.600000000006</v>
      </c>
      <c r="AU37" s="291">
        <v>23902.800000000003</v>
      </c>
      <c r="AV37" s="299">
        <v>95611.199999999997</v>
      </c>
      <c r="AW37" s="300" t="s">
        <v>772</v>
      </c>
      <c r="AX37" s="299">
        <v>23902.800000000003</v>
      </c>
      <c r="AY37" s="301" t="s">
        <v>772</v>
      </c>
      <c r="AZ37" s="315">
        <v>8605.6</v>
      </c>
      <c r="BA37" s="316" t="s">
        <v>772</v>
      </c>
      <c r="BB37" s="318">
        <v>2151.3999999999942</v>
      </c>
      <c r="BC37" s="331"/>
      <c r="BD37" s="307"/>
      <c r="BE37" s="304"/>
      <c r="BF37" s="307"/>
      <c r="BG37" s="309"/>
      <c r="BH37" s="307"/>
      <c r="BI37" s="309"/>
      <c r="BJ37" s="307"/>
      <c r="BK37" s="309"/>
      <c r="BL37" s="307"/>
      <c r="BM37" s="309"/>
      <c r="BN37" s="307"/>
      <c r="BO37" s="309"/>
      <c r="BP37" s="307"/>
      <c r="BQ37" s="309"/>
      <c r="BR37" s="307"/>
      <c r="BS37" s="309"/>
      <c r="BT37" s="292">
        <f>IF('Daten 2021'!$AW37="x",'Daten 2021'!$AV37,0)+IF('Daten 2021'!$AY37="x",'Daten 2021'!$AX37,0)+IF('Daten 2021'!$BA37="x",'Daten 2021'!$AZ37,0)+IF('Daten 2021'!$BC37="x",'Daten 2021'!$BB37,0)+IF('Daten 2021'!$BE37="x",'Daten 2021'!$BD37,0)+IF('Daten 2021'!$BG37="x",'Daten 2021'!$BF37,0)+IF('Daten 2021'!$BI37="x",'Daten 2021'!$BH37,0)+IF('Daten 2021'!$BK37="x",'Daten 2021'!$BJ37,0)+IF('Daten 2021'!$BM37="x",'Daten 2021'!$BL37,0)+IF('Daten 2021'!$BO37="x",'Daten 2021'!$BN37,0)+IF('Daten 2021'!$BQ37="x",'Daten 2021'!$BP37,0)+IF('Daten 2021'!$BS37="x",'Daten 2021'!$BR37,0)</f>
        <v>128119.6</v>
      </c>
      <c r="BU37" s="291" t="s">
        <v>244</v>
      </c>
      <c r="BV37" s="291"/>
      <c r="BW37" s="291"/>
      <c r="BX37" s="291"/>
      <c r="BY37" s="291"/>
      <c r="BZ37" s="291"/>
    </row>
    <row r="38" spans="1:78" x14ac:dyDescent="0.3">
      <c r="A38" s="289" t="s">
        <v>45</v>
      </c>
      <c r="B38" s="291" t="s">
        <v>215</v>
      </c>
      <c r="C38" s="289" t="s">
        <v>172</v>
      </c>
      <c r="D38" s="289" t="s">
        <v>282</v>
      </c>
      <c r="E38" s="289" t="s">
        <v>460</v>
      </c>
      <c r="F38" s="289" t="s">
        <v>369</v>
      </c>
      <c r="G38" s="289"/>
      <c r="H38" s="289"/>
      <c r="I38" s="289"/>
      <c r="J38" s="289">
        <v>3</v>
      </c>
      <c r="K38" s="289">
        <v>348</v>
      </c>
      <c r="L38" s="289">
        <v>5110</v>
      </c>
      <c r="M38" s="289">
        <v>0</v>
      </c>
      <c r="N38" s="289">
        <v>0</v>
      </c>
      <c r="O38" s="289">
        <v>0</v>
      </c>
      <c r="P38" s="289">
        <v>7</v>
      </c>
      <c r="Q38" s="289">
        <v>39</v>
      </c>
      <c r="R38" s="289">
        <v>6501.05</v>
      </c>
      <c r="S38" s="289">
        <v>10</v>
      </c>
      <c r="T38" s="289">
        <v>58</v>
      </c>
      <c r="U38" s="289">
        <v>9618.9500000000007</v>
      </c>
      <c r="V38" s="289">
        <v>0</v>
      </c>
      <c r="W38" s="289">
        <v>0</v>
      </c>
      <c r="X38" s="289">
        <v>0</v>
      </c>
      <c r="Y38" s="289">
        <v>0</v>
      </c>
      <c r="Z38" s="289">
        <v>0</v>
      </c>
      <c r="AA38" s="289">
        <v>0</v>
      </c>
      <c r="AB38" s="289">
        <v>0</v>
      </c>
      <c r="AC38" s="289">
        <v>0</v>
      </c>
      <c r="AD38" s="289">
        <v>0</v>
      </c>
      <c r="AE38" s="289">
        <v>0</v>
      </c>
      <c r="AF38" s="289">
        <v>0</v>
      </c>
      <c r="AG38" s="289">
        <v>0</v>
      </c>
      <c r="AH38" s="289"/>
      <c r="AI38" s="289"/>
      <c r="AJ38" s="289"/>
      <c r="AK38" s="289"/>
      <c r="AL38" s="289"/>
      <c r="AM38" s="289">
        <v>8000</v>
      </c>
      <c r="AN38" s="289">
        <v>20</v>
      </c>
      <c r="AO38" s="290">
        <v>29230</v>
      </c>
      <c r="AP38" s="289"/>
      <c r="AQ38" s="289"/>
      <c r="AR38" s="289" t="s">
        <v>243</v>
      </c>
      <c r="AS38" s="289">
        <v>22104</v>
      </c>
      <c r="AT38" s="289">
        <v>11052</v>
      </c>
      <c r="AU38" s="289">
        <v>5526</v>
      </c>
      <c r="AV38" s="299">
        <v>22104</v>
      </c>
      <c r="AW38" s="300" t="s">
        <v>772</v>
      </c>
      <c r="AX38" s="299">
        <v>5526</v>
      </c>
      <c r="AY38" s="301" t="s">
        <v>772</v>
      </c>
      <c r="AZ38" s="322">
        <v>1280</v>
      </c>
      <c r="BA38" s="323" t="s">
        <v>772</v>
      </c>
      <c r="BB38" s="327">
        <v>320</v>
      </c>
      <c r="BC38" s="332"/>
      <c r="BD38" s="307"/>
      <c r="BE38" s="304"/>
      <c r="BF38" s="307"/>
      <c r="BG38" s="309"/>
      <c r="BH38" s="307"/>
      <c r="BI38" s="309"/>
      <c r="BJ38" s="307"/>
      <c r="BK38" s="309"/>
      <c r="BL38" s="307"/>
      <c r="BM38" s="309"/>
      <c r="BN38" s="307"/>
      <c r="BO38" s="309"/>
      <c r="BP38" s="307"/>
      <c r="BQ38" s="309"/>
      <c r="BR38" s="307"/>
      <c r="BS38" s="309"/>
      <c r="BT38" s="290">
        <f>IF('Daten 2021'!$AW38="x",'Daten 2021'!$AV38,0)+IF('Daten 2021'!$AY38="x",'Daten 2021'!$AX38,0)+IF('Daten 2021'!$BA38="x",'Daten 2021'!$AZ38,0)+IF('Daten 2021'!$BC38="x",'Daten 2021'!$BB38,0)+IF('Daten 2021'!$BE38="x",'Daten 2021'!$BD38,0)+IF('Daten 2021'!$BG38="x",'Daten 2021'!$BF38,0)+IF('Daten 2021'!$BI38="x",'Daten 2021'!$BH38,0)+IF('Daten 2021'!$BK38="x",'Daten 2021'!$BJ38,0)+IF('Daten 2021'!$BM38="x",'Daten 2021'!$BL38,0)+IF('Daten 2021'!$BO38="x",'Daten 2021'!$BN38,0)+IF('Daten 2021'!$BQ38="x",'Daten 2021'!$BP38,0)+IF('Daten 2021'!$BS38="x",'Daten 2021'!$BR38,0)</f>
        <v>28910</v>
      </c>
      <c r="BU38" s="289" t="s">
        <v>244</v>
      </c>
      <c r="BV38" s="289"/>
      <c r="BW38" s="289"/>
      <c r="BX38" s="289"/>
      <c r="BY38" s="289"/>
      <c r="BZ38" s="289"/>
    </row>
    <row r="39" spans="1:78" x14ac:dyDescent="0.3">
      <c r="A39" s="291" t="s">
        <v>46</v>
      </c>
      <c r="B39" s="291" t="s">
        <v>123</v>
      </c>
      <c r="C39" s="291" t="s">
        <v>173</v>
      </c>
      <c r="D39" s="291" t="s">
        <v>283</v>
      </c>
      <c r="E39" s="291" t="s">
        <v>461</v>
      </c>
      <c r="F39" s="291" t="s">
        <v>370</v>
      </c>
      <c r="G39" s="291"/>
      <c r="H39" s="291"/>
      <c r="I39" s="291"/>
      <c r="J39" s="291">
        <v>13</v>
      </c>
      <c r="K39" s="291">
        <v>1696</v>
      </c>
      <c r="L39" s="291">
        <v>25776</v>
      </c>
      <c r="M39" s="291">
        <v>9</v>
      </c>
      <c r="N39" s="291">
        <v>976</v>
      </c>
      <c r="O39" s="291">
        <v>19800</v>
      </c>
      <c r="P39" s="291">
        <v>12</v>
      </c>
      <c r="Q39" s="291">
        <v>60</v>
      </c>
      <c r="R39" s="291">
        <v>10320</v>
      </c>
      <c r="S39" s="291">
        <v>5</v>
      </c>
      <c r="T39" s="291">
        <v>25</v>
      </c>
      <c r="U39" s="291">
        <v>4300</v>
      </c>
      <c r="V39" s="291">
        <v>0</v>
      </c>
      <c r="W39" s="291">
        <v>0</v>
      </c>
      <c r="X39" s="291">
        <v>0</v>
      </c>
      <c r="Y39" s="291">
        <v>0</v>
      </c>
      <c r="Z39" s="291">
        <v>0</v>
      </c>
      <c r="AA39" s="291">
        <v>0</v>
      </c>
      <c r="AB39" s="291">
        <v>0</v>
      </c>
      <c r="AC39" s="291">
        <v>0</v>
      </c>
      <c r="AD39" s="291">
        <v>0</v>
      </c>
      <c r="AE39" s="291">
        <v>0</v>
      </c>
      <c r="AF39" s="291">
        <v>0</v>
      </c>
      <c r="AG39" s="291">
        <v>0</v>
      </c>
      <c r="AH39" s="291"/>
      <c r="AI39" s="291"/>
      <c r="AJ39" s="291"/>
      <c r="AK39" s="291"/>
      <c r="AL39" s="291"/>
      <c r="AM39" s="291">
        <v>15600</v>
      </c>
      <c r="AN39" s="291">
        <v>39</v>
      </c>
      <c r="AO39" s="292">
        <v>75796</v>
      </c>
      <c r="AP39" s="291"/>
      <c r="AQ39" s="291"/>
      <c r="AR39" s="291" t="s">
        <v>243</v>
      </c>
      <c r="AS39" s="291">
        <v>60636.800000000003</v>
      </c>
      <c r="AT39" s="291">
        <v>30318.400000000001</v>
      </c>
      <c r="AU39" s="291">
        <v>15159.2</v>
      </c>
      <c r="AV39" s="299">
        <v>60636.800000000003</v>
      </c>
      <c r="AW39" s="300" t="s">
        <v>772</v>
      </c>
      <c r="AX39" s="299">
        <v>15159.199999999997</v>
      </c>
      <c r="AY39" s="301"/>
      <c r="AZ39" s="307"/>
      <c r="BA39" s="303"/>
      <c r="BB39" s="307"/>
      <c r="BC39" s="308"/>
      <c r="BD39" s="307"/>
      <c r="BE39" s="304"/>
      <c r="BF39" s="307"/>
      <c r="BG39" s="309"/>
      <c r="BH39" s="307"/>
      <c r="BI39" s="309"/>
      <c r="BJ39" s="307"/>
      <c r="BK39" s="309"/>
      <c r="BL39" s="307"/>
      <c r="BM39" s="309"/>
      <c r="BN39" s="307"/>
      <c r="BO39" s="309"/>
      <c r="BP39" s="307"/>
      <c r="BQ39" s="309"/>
      <c r="BR39" s="307"/>
      <c r="BS39" s="309"/>
      <c r="BT39" s="292">
        <f>IF('Daten 2021'!$AW39="x",'Daten 2021'!$AV39,0)+IF('Daten 2021'!$AY39="x",'Daten 2021'!$AX39,0)+IF('Daten 2021'!$BA39="x",'Daten 2021'!$AZ39,0)+IF('Daten 2021'!$BC39="x",'Daten 2021'!$BB39,0)+IF('Daten 2021'!$BE39="x",'Daten 2021'!$BD39,0)+IF('Daten 2021'!$BG39="x",'Daten 2021'!$BF39,0)+IF('Daten 2021'!$BI39="x",'Daten 2021'!$BH39,0)+IF('Daten 2021'!$BK39="x",'Daten 2021'!$BJ39,0)+IF('Daten 2021'!$BM39="x",'Daten 2021'!$BL39,0)+IF('Daten 2021'!$BO39="x",'Daten 2021'!$BN39,0)+IF('Daten 2021'!$BQ39="x",'Daten 2021'!$BP39,0)+IF('Daten 2021'!$BS39="x",'Daten 2021'!$BR39,0)</f>
        <v>60636.800000000003</v>
      </c>
      <c r="BU39" s="291" t="s">
        <v>244</v>
      </c>
      <c r="BV39" s="291"/>
      <c r="BW39" s="291"/>
      <c r="BX39" s="291"/>
      <c r="BY39" s="291"/>
      <c r="BZ39" s="291"/>
    </row>
    <row r="40" spans="1:78" x14ac:dyDescent="0.3">
      <c r="A40" s="289" t="s">
        <v>47</v>
      </c>
      <c r="B40" s="291" t="s">
        <v>8</v>
      </c>
      <c r="C40" s="289" t="s">
        <v>174</v>
      </c>
      <c r="D40" s="289" t="s">
        <v>284</v>
      </c>
      <c r="E40" s="289" t="s">
        <v>462</v>
      </c>
      <c r="F40" s="289" t="s">
        <v>371</v>
      </c>
      <c r="G40" s="289"/>
      <c r="H40" s="289"/>
      <c r="I40" s="289"/>
      <c r="J40" s="289">
        <v>0</v>
      </c>
      <c r="K40" s="289">
        <v>0</v>
      </c>
      <c r="L40" s="289">
        <v>0</v>
      </c>
      <c r="M40" s="289">
        <v>22</v>
      </c>
      <c r="N40" s="289">
        <v>1981</v>
      </c>
      <c r="O40" s="289">
        <v>38620</v>
      </c>
      <c r="P40" s="289">
        <v>0</v>
      </c>
      <c r="Q40" s="289">
        <v>0</v>
      </c>
      <c r="R40" s="289">
        <v>0</v>
      </c>
      <c r="S40" s="289">
        <v>9</v>
      </c>
      <c r="T40" s="289">
        <v>48</v>
      </c>
      <c r="U40" s="289">
        <v>8040</v>
      </c>
      <c r="V40" s="289">
        <v>0</v>
      </c>
      <c r="W40" s="289">
        <v>0</v>
      </c>
      <c r="X40" s="289">
        <v>0</v>
      </c>
      <c r="Y40" s="289">
        <v>0</v>
      </c>
      <c r="Z40" s="289">
        <v>0</v>
      </c>
      <c r="AA40" s="289">
        <v>0</v>
      </c>
      <c r="AB40" s="289">
        <v>0</v>
      </c>
      <c r="AC40" s="289">
        <v>0</v>
      </c>
      <c r="AD40" s="289">
        <v>0</v>
      </c>
      <c r="AE40" s="289">
        <v>0</v>
      </c>
      <c r="AF40" s="289">
        <v>0</v>
      </c>
      <c r="AG40" s="289">
        <v>0</v>
      </c>
      <c r="AH40" s="289"/>
      <c r="AI40" s="289"/>
      <c r="AJ40" s="289"/>
      <c r="AK40" s="289"/>
      <c r="AL40" s="289"/>
      <c r="AM40" s="289">
        <v>12400</v>
      </c>
      <c r="AN40" s="289">
        <v>31</v>
      </c>
      <c r="AO40" s="290">
        <v>59060</v>
      </c>
      <c r="AP40" s="289"/>
      <c r="AQ40" s="289"/>
      <c r="AR40" s="289" t="s">
        <v>243</v>
      </c>
      <c r="AS40" s="289">
        <v>140062.39999999999</v>
      </c>
      <c r="AT40" s="289">
        <v>70031.199999999997</v>
      </c>
      <c r="AU40" s="289">
        <v>35015.599999999999</v>
      </c>
      <c r="AV40" s="299">
        <v>140062.39999999999</v>
      </c>
      <c r="AW40" s="300" t="s">
        <v>772</v>
      </c>
      <c r="AX40" s="305">
        <v>-81002.399999999994</v>
      </c>
      <c r="AY40" s="306" t="s">
        <v>772</v>
      </c>
      <c r="AZ40" s="307"/>
      <c r="BA40" s="303"/>
      <c r="BB40" s="307"/>
      <c r="BC40" s="308"/>
      <c r="BD40" s="307"/>
      <c r="BE40" s="304"/>
      <c r="BF40" s="307"/>
      <c r="BG40" s="309"/>
      <c r="BH40" s="307"/>
      <c r="BI40" s="309"/>
      <c r="BJ40" s="307"/>
      <c r="BK40" s="309"/>
      <c r="BL40" s="307"/>
      <c r="BM40" s="309"/>
      <c r="BN40" s="307"/>
      <c r="BO40" s="309"/>
      <c r="BP40" s="307"/>
      <c r="BQ40" s="309"/>
      <c r="BR40" s="307"/>
      <c r="BS40" s="309"/>
      <c r="BT40" s="290">
        <f>IF('Daten 2021'!$AW40="x",'Daten 2021'!$AV40,0)+IF('Daten 2021'!$AY40="x",'Daten 2021'!$AX40,0)+IF('Daten 2021'!$BA40="x",'Daten 2021'!$AZ40,0)+IF('Daten 2021'!$BC40="x",'Daten 2021'!$BB40,0)+IF('Daten 2021'!$BE40="x",'Daten 2021'!$BD40,0)+IF('Daten 2021'!$BG40="x",'Daten 2021'!$BF40,0)+IF('Daten 2021'!$BI40="x",'Daten 2021'!$BH40,0)+IF('Daten 2021'!$BK40="x",'Daten 2021'!$BJ40,0)+IF('Daten 2021'!$BM40="x",'Daten 2021'!$BL40,0)+IF('Daten 2021'!$BO40="x",'Daten 2021'!$BN40,0)+IF('Daten 2021'!$BQ40="x",'Daten 2021'!$BP40,0)+IF('Daten 2021'!$BS40="x",'Daten 2021'!$BR40,0)</f>
        <v>59060</v>
      </c>
      <c r="BU40" s="289" t="s">
        <v>244</v>
      </c>
      <c r="BV40" s="289"/>
      <c r="BW40" s="289"/>
      <c r="BX40" s="289"/>
      <c r="BY40" s="289"/>
      <c r="BZ40" s="289"/>
    </row>
    <row r="41" spans="1:78" x14ac:dyDescent="0.3">
      <c r="A41" s="291" t="s">
        <v>48</v>
      </c>
      <c r="B41" s="291" t="s">
        <v>97</v>
      </c>
      <c r="C41" s="291" t="s">
        <v>175</v>
      </c>
      <c r="D41" s="291" t="s">
        <v>285</v>
      </c>
      <c r="E41" s="291" t="s">
        <v>463</v>
      </c>
      <c r="F41" s="291" t="s">
        <v>372</v>
      </c>
      <c r="G41" s="291"/>
      <c r="H41" s="291"/>
      <c r="I41" s="291"/>
      <c r="J41" s="291">
        <v>205</v>
      </c>
      <c r="K41" s="291">
        <v>25270</v>
      </c>
      <c r="L41" s="291">
        <v>371473</v>
      </c>
      <c r="M41" s="291">
        <v>41</v>
      </c>
      <c r="N41" s="291">
        <v>4851</v>
      </c>
      <c r="O41" s="291">
        <v>94600.5</v>
      </c>
      <c r="P41" s="291">
        <v>11</v>
      </c>
      <c r="Q41" s="291">
        <v>55</v>
      </c>
      <c r="R41" s="291">
        <v>9460</v>
      </c>
      <c r="S41" s="291">
        <v>6</v>
      </c>
      <c r="T41" s="291">
        <v>30</v>
      </c>
      <c r="U41" s="291">
        <v>5160</v>
      </c>
      <c r="V41" s="291">
        <v>20</v>
      </c>
      <c r="W41" s="291">
        <v>8000</v>
      </c>
      <c r="X41" s="291">
        <v>0</v>
      </c>
      <c r="Y41" s="291">
        <v>0</v>
      </c>
      <c r="Z41" s="291">
        <v>0</v>
      </c>
      <c r="AA41" s="291"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291">
        <v>0</v>
      </c>
      <c r="AH41" s="291"/>
      <c r="AI41" s="291"/>
      <c r="AJ41" s="291"/>
      <c r="AK41" s="291"/>
      <c r="AL41" s="291"/>
      <c r="AM41" s="291">
        <v>77490</v>
      </c>
      <c r="AN41" s="291">
        <v>263</v>
      </c>
      <c r="AO41" s="292">
        <v>566183.5</v>
      </c>
      <c r="AP41" s="291"/>
      <c r="AQ41" s="291"/>
      <c r="AR41" s="291" t="s">
        <v>253</v>
      </c>
      <c r="AS41" s="291">
        <v>402624</v>
      </c>
      <c r="AT41" s="291">
        <v>201312</v>
      </c>
      <c r="AU41" s="291">
        <v>100656</v>
      </c>
      <c r="AV41" s="299">
        <v>201312</v>
      </c>
      <c r="AW41" s="300" t="s">
        <v>772</v>
      </c>
      <c r="AX41" s="299">
        <v>188984</v>
      </c>
      <c r="AY41" s="301" t="s">
        <v>772</v>
      </c>
      <c r="AZ41" s="315">
        <v>31325.4</v>
      </c>
      <c r="BA41" s="316" t="s">
        <v>772</v>
      </c>
      <c r="BB41" s="315">
        <v>31325.4</v>
      </c>
      <c r="BC41" s="316"/>
      <c r="BD41" s="318">
        <v>113236.70000000001</v>
      </c>
      <c r="BE41" s="319"/>
      <c r="BF41" s="307"/>
      <c r="BG41" s="309"/>
      <c r="BH41" s="307"/>
      <c r="BI41" s="309"/>
      <c r="BJ41" s="307"/>
      <c r="BK41" s="309"/>
      <c r="BL41" s="307"/>
      <c r="BM41" s="309"/>
      <c r="BN41" s="307"/>
      <c r="BO41" s="309"/>
      <c r="BP41" s="307"/>
      <c r="BQ41" s="309"/>
      <c r="BR41" s="307"/>
      <c r="BS41" s="309"/>
      <c r="BT41" s="292">
        <f>IF('Daten 2021'!$AW41="x",'Daten 2021'!$AV41,0)+IF('Daten 2021'!$AY41="x",'Daten 2021'!$AX41,0)+IF('Daten 2021'!$BA41="x",'Daten 2021'!$AZ41,0)+IF('Daten 2021'!$BC41="x",'Daten 2021'!$BB41,0)+IF('Daten 2021'!$BE41="x",'Daten 2021'!$BD41,0)+IF('Daten 2021'!$BG41="x",'Daten 2021'!$BF41,0)+IF('Daten 2021'!$BI41="x",'Daten 2021'!$BH41,0)+IF('Daten 2021'!$BK41="x",'Daten 2021'!$BJ41,0)+IF('Daten 2021'!$BM41="x",'Daten 2021'!$BL41,0)+IF('Daten 2021'!$BO41="x",'Daten 2021'!$BN41,0)+IF('Daten 2021'!$BQ41="x",'Daten 2021'!$BP41,0)+IF('Daten 2021'!$BS41="x",'Daten 2021'!$BR41,0)</f>
        <v>421621.4</v>
      </c>
      <c r="BU41" s="291" t="s">
        <v>244</v>
      </c>
      <c r="BV41" s="291"/>
      <c r="BW41" s="291"/>
      <c r="BX41" s="291"/>
      <c r="BY41" s="291"/>
      <c r="BZ41" s="291"/>
    </row>
    <row r="42" spans="1:78" x14ac:dyDescent="0.3">
      <c r="A42" s="289" t="s">
        <v>49</v>
      </c>
      <c r="B42" s="291" t="s">
        <v>114</v>
      </c>
      <c r="C42" s="289" t="s">
        <v>176</v>
      </c>
      <c r="D42" s="289" t="s">
        <v>288</v>
      </c>
      <c r="E42" s="289" t="s">
        <v>465</v>
      </c>
      <c r="F42" s="289" t="s">
        <v>373</v>
      </c>
      <c r="G42" s="289"/>
      <c r="H42" s="289"/>
      <c r="I42" s="289"/>
      <c r="J42" s="289">
        <v>14</v>
      </c>
      <c r="K42" s="289">
        <v>2703</v>
      </c>
      <c r="L42" s="289">
        <v>39736</v>
      </c>
      <c r="M42" s="289">
        <v>3</v>
      </c>
      <c r="N42" s="289">
        <v>181</v>
      </c>
      <c r="O42" s="289">
        <v>3537</v>
      </c>
      <c r="P42" s="289">
        <v>6</v>
      </c>
      <c r="Q42" s="289">
        <v>36</v>
      </c>
      <c r="R42" s="289">
        <v>5890</v>
      </c>
      <c r="S42" s="289">
        <v>2</v>
      </c>
      <c r="T42" s="289">
        <v>10</v>
      </c>
      <c r="U42" s="289">
        <v>1720</v>
      </c>
      <c r="V42" s="289">
        <v>0</v>
      </c>
      <c r="W42" s="289">
        <v>0</v>
      </c>
      <c r="X42" s="289">
        <v>0</v>
      </c>
      <c r="Y42" s="289">
        <v>0</v>
      </c>
      <c r="Z42" s="289">
        <v>0</v>
      </c>
      <c r="AA42" s="289">
        <v>0</v>
      </c>
      <c r="AB42" s="289">
        <v>0</v>
      </c>
      <c r="AC42" s="289">
        <v>0</v>
      </c>
      <c r="AD42" s="289">
        <v>0</v>
      </c>
      <c r="AE42" s="289">
        <v>0</v>
      </c>
      <c r="AF42" s="289">
        <v>0</v>
      </c>
      <c r="AG42" s="289">
        <v>0</v>
      </c>
      <c r="AH42" s="289"/>
      <c r="AI42" s="289"/>
      <c r="AJ42" s="289"/>
      <c r="AK42" s="289"/>
      <c r="AL42" s="289"/>
      <c r="AM42" s="289">
        <v>10000</v>
      </c>
      <c r="AN42" s="289">
        <v>25</v>
      </c>
      <c r="AO42" s="290">
        <v>60883</v>
      </c>
      <c r="AP42" s="289"/>
      <c r="AQ42" s="289"/>
      <c r="AR42" s="289" t="s">
        <v>243</v>
      </c>
      <c r="AS42" s="289">
        <v>44636.800000000003</v>
      </c>
      <c r="AT42" s="289">
        <v>22318.400000000001</v>
      </c>
      <c r="AU42" s="289">
        <v>11159.2</v>
      </c>
      <c r="AV42" s="299">
        <v>44636.800000000003</v>
      </c>
      <c r="AW42" s="300" t="s">
        <v>772</v>
      </c>
      <c r="AX42" s="299">
        <v>7559.1999999999971</v>
      </c>
      <c r="AY42" s="301" t="s">
        <v>772</v>
      </c>
      <c r="AZ42" s="333">
        <v>6949.6</v>
      </c>
      <c r="BA42" s="323" t="s">
        <v>772</v>
      </c>
      <c r="BB42" s="327">
        <v>1737.4000000000015</v>
      </c>
      <c r="BC42" s="332"/>
      <c r="BD42" s="307"/>
      <c r="BE42" s="304"/>
      <c r="BF42" s="307"/>
      <c r="BG42" s="309"/>
      <c r="BH42" s="307"/>
      <c r="BI42" s="309"/>
      <c r="BJ42" s="307"/>
      <c r="BK42" s="309"/>
      <c r="BL42" s="307"/>
      <c r="BM42" s="309"/>
      <c r="BN42" s="307"/>
      <c r="BO42" s="309"/>
      <c r="BP42" s="307"/>
      <c r="BQ42" s="309"/>
      <c r="BR42" s="307"/>
      <c r="BS42" s="309"/>
      <c r="BT42" s="290">
        <f>IF('Daten 2021'!$AW42="x",'Daten 2021'!$AV42,0)+IF('Daten 2021'!$AY42="x",'Daten 2021'!$AX42,0)+IF('Daten 2021'!$BA42="x",'Daten 2021'!$AZ42,0)+IF('Daten 2021'!$BC42="x",'Daten 2021'!$BB42,0)+IF('Daten 2021'!$BE42="x",'Daten 2021'!$BD42,0)+IF('Daten 2021'!$BG42="x",'Daten 2021'!$BF42,0)+IF('Daten 2021'!$BI42="x",'Daten 2021'!$BH42,0)+IF('Daten 2021'!$BK42="x",'Daten 2021'!$BJ42,0)+IF('Daten 2021'!$BM42="x",'Daten 2021'!$BL42,0)+IF('Daten 2021'!$BO42="x",'Daten 2021'!$BN42,0)+IF('Daten 2021'!$BQ42="x",'Daten 2021'!$BP42,0)+IF('Daten 2021'!$BS42="x",'Daten 2021'!$BR42,0)</f>
        <v>59145.599999999999</v>
      </c>
      <c r="BU42" s="289" t="s">
        <v>244</v>
      </c>
      <c r="BV42" s="289"/>
      <c r="BW42" s="289"/>
      <c r="BX42" s="289"/>
      <c r="BY42" s="289"/>
      <c r="BZ42" s="289"/>
    </row>
    <row r="43" spans="1:78" x14ac:dyDescent="0.3">
      <c r="A43" s="291" t="s">
        <v>752</v>
      </c>
      <c r="B43" s="291" t="s">
        <v>286</v>
      </c>
      <c r="C43" s="291" t="s">
        <v>177</v>
      </c>
      <c r="D43" s="291" t="s">
        <v>287</v>
      </c>
      <c r="E43" s="291" t="s">
        <v>464</v>
      </c>
      <c r="F43" s="294" t="s">
        <v>803</v>
      </c>
      <c r="G43" s="291"/>
      <c r="H43" s="291"/>
      <c r="I43" s="291"/>
      <c r="J43" s="291">
        <v>0</v>
      </c>
      <c r="K43" s="291">
        <v>0</v>
      </c>
      <c r="L43" s="291">
        <v>0</v>
      </c>
      <c r="M43" s="291">
        <v>0</v>
      </c>
      <c r="N43" s="291">
        <v>0</v>
      </c>
      <c r="O43" s="291">
        <v>0</v>
      </c>
      <c r="P43" s="291">
        <v>5</v>
      </c>
      <c r="Q43" s="291">
        <v>24</v>
      </c>
      <c r="R43" s="291">
        <v>4200</v>
      </c>
      <c r="S43" s="291">
        <v>22</v>
      </c>
      <c r="T43" s="291">
        <v>111</v>
      </c>
      <c r="U43" s="291">
        <v>19000</v>
      </c>
      <c r="V43" s="291">
        <v>0</v>
      </c>
      <c r="W43" s="291">
        <v>0</v>
      </c>
      <c r="X43" s="291">
        <v>0</v>
      </c>
      <c r="Y43" s="291">
        <v>0</v>
      </c>
      <c r="Z43" s="291">
        <v>0</v>
      </c>
      <c r="AA43" s="291">
        <v>0</v>
      </c>
      <c r="AB43" s="291">
        <v>0</v>
      </c>
      <c r="AC43" s="291">
        <v>0</v>
      </c>
      <c r="AD43" s="291">
        <v>0</v>
      </c>
      <c r="AE43" s="291">
        <v>0</v>
      </c>
      <c r="AF43" s="291">
        <v>0</v>
      </c>
      <c r="AG43" s="291">
        <v>0</v>
      </c>
      <c r="AH43" s="291"/>
      <c r="AI43" s="291"/>
      <c r="AJ43" s="291"/>
      <c r="AK43" s="291"/>
      <c r="AL43" s="291"/>
      <c r="AM43" s="291">
        <v>10800</v>
      </c>
      <c r="AN43" s="291">
        <v>27</v>
      </c>
      <c r="AO43" s="292">
        <v>34000</v>
      </c>
      <c r="AP43" s="291"/>
      <c r="AQ43" s="291"/>
      <c r="AR43" s="291" t="s">
        <v>243</v>
      </c>
      <c r="AS43" s="291">
        <v>23184</v>
      </c>
      <c r="AT43" s="291">
        <v>11592</v>
      </c>
      <c r="AU43" s="291">
        <v>5796</v>
      </c>
      <c r="AV43" s="299">
        <v>23184</v>
      </c>
      <c r="AW43" s="300" t="s">
        <v>772</v>
      </c>
      <c r="AX43" s="312">
        <v>4016</v>
      </c>
      <c r="AY43" s="313" t="s">
        <v>772</v>
      </c>
      <c r="AZ43" s="315">
        <v>6800</v>
      </c>
      <c r="BA43" s="316"/>
      <c r="BB43" s="307"/>
      <c r="BC43" s="308"/>
      <c r="BD43" s="307"/>
      <c r="BE43" s="304"/>
      <c r="BF43" s="307"/>
      <c r="BG43" s="309"/>
      <c r="BH43" s="307"/>
      <c r="BI43" s="309"/>
      <c r="BJ43" s="307"/>
      <c r="BK43" s="309"/>
      <c r="BL43" s="307"/>
      <c r="BM43" s="309"/>
      <c r="BN43" s="307"/>
      <c r="BO43" s="309"/>
      <c r="BP43" s="307"/>
      <c r="BQ43" s="309"/>
      <c r="BR43" s="307"/>
      <c r="BS43" s="309"/>
      <c r="BT43" s="292">
        <f>IF('Daten 2021'!$AW43="x",'Daten 2021'!$AV43,0)+IF('Daten 2021'!$AY43="x",'Daten 2021'!$AX43,0)+IF('Daten 2021'!$BA43="x",'Daten 2021'!$AZ43,0)+IF('Daten 2021'!$BC43="x",'Daten 2021'!$BB43,0)+IF('Daten 2021'!$BE43="x",'Daten 2021'!$BD43,0)+IF('Daten 2021'!$BG43="x",'Daten 2021'!$BF43,0)+IF('Daten 2021'!$BI43="x",'Daten 2021'!$BH43,0)+IF('Daten 2021'!$BK43="x",'Daten 2021'!$BJ43,0)+IF('Daten 2021'!$BM43="x",'Daten 2021'!$BL43,0)+IF('Daten 2021'!$BO43="x",'Daten 2021'!$BN43,0)+IF('Daten 2021'!$BQ43="x",'Daten 2021'!$BP43,0)+IF('Daten 2021'!$BS43="x",'Daten 2021'!$BR43,0)</f>
        <v>27200</v>
      </c>
      <c r="BU43" s="291" t="s">
        <v>244</v>
      </c>
      <c r="BV43" s="291"/>
      <c r="BW43" s="291"/>
      <c r="BX43" s="291"/>
      <c r="BY43" s="291"/>
      <c r="BZ43" s="291"/>
    </row>
    <row r="44" spans="1:78" x14ac:dyDescent="0.3">
      <c r="A44" s="289" t="s">
        <v>50</v>
      </c>
      <c r="B44" s="291" t="s">
        <v>4</v>
      </c>
      <c r="C44" s="289" t="s">
        <v>178</v>
      </c>
      <c r="D44" s="289" t="s">
        <v>289</v>
      </c>
      <c r="E44" s="289" t="s">
        <v>466</v>
      </c>
      <c r="F44" s="289" t="s">
        <v>374</v>
      </c>
      <c r="G44" s="289"/>
      <c r="H44" s="289"/>
      <c r="I44" s="289"/>
      <c r="J44" s="289">
        <v>73</v>
      </c>
      <c r="K44" s="289">
        <v>10465</v>
      </c>
      <c r="L44" s="289">
        <v>153834</v>
      </c>
      <c r="M44" s="289">
        <v>57</v>
      </c>
      <c r="N44" s="289">
        <v>5333</v>
      </c>
      <c r="O44" s="289">
        <v>103990</v>
      </c>
      <c r="P44" s="289">
        <v>0</v>
      </c>
      <c r="Q44" s="289">
        <v>0</v>
      </c>
      <c r="R44" s="289">
        <v>0</v>
      </c>
      <c r="S44" s="289">
        <v>0</v>
      </c>
      <c r="T44" s="289">
        <v>0</v>
      </c>
      <c r="U44" s="289">
        <v>0</v>
      </c>
      <c r="V44" s="289">
        <v>20</v>
      </c>
      <c r="W44" s="289">
        <v>8000</v>
      </c>
      <c r="X44" s="289">
        <v>20</v>
      </c>
      <c r="Y44" s="289">
        <v>8000</v>
      </c>
      <c r="Z44" s="289">
        <v>0</v>
      </c>
      <c r="AA44" s="289">
        <v>0</v>
      </c>
      <c r="AB44" s="289">
        <v>0</v>
      </c>
      <c r="AC44" s="289">
        <v>0</v>
      </c>
      <c r="AD44" s="289">
        <v>0</v>
      </c>
      <c r="AE44" s="289">
        <v>0</v>
      </c>
      <c r="AF44" s="289">
        <v>0</v>
      </c>
      <c r="AG44" s="289">
        <v>0</v>
      </c>
      <c r="AH44" s="289"/>
      <c r="AI44" s="289"/>
      <c r="AJ44" s="289"/>
      <c r="AK44" s="289"/>
      <c r="AL44" s="289"/>
      <c r="AM44" s="289">
        <v>46900</v>
      </c>
      <c r="AN44" s="289">
        <v>130</v>
      </c>
      <c r="AO44" s="290">
        <v>320724</v>
      </c>
      <c r="AP44" s="289"/>
      <c r="AQ44" s="289"/>
      <c r="AR44" s="289" t="s">
        <v>243</v>
      </c>
      <c r="AS44" s="289">
        <v>277868.79999999999</v>
      </c>
      <c r="AT44" s="289">
        <v>138934.39999999999</v>
      </c>
      <c r="AU44" s="289">
        <v>69467.199999999997</v>
      </c>
      <c r="AV44" s="299">
        <v>277868.79999999999</v>
      </c>
      <c r="AW44" s="300" t="s">
        <v>772</v>
      </c>
      <c r="AX44" s="312">
        <v>42855.200000000012</v>
      </c>
      <c r="AY44" s="313"/>
      <c r="AZ44" s="307"/>
      <c r="BA44" s="303"/>
      <c r="BB44" s="307"/>
      <c r="BC44" s="308"/>
      <c r="BD44" s="307"/>
      <c r="BE44" s="304"/>
      <c r="BF44" s="307"/>
      <c r="BG44" s="309"/>
      <c r="BH44" s="307"/>
      <c r="BI44" s="309"/>
      <c r="BJ44" s="307"/>
      <c r="BK44" s="309"/>
      <c r="BL44" s="307"/>
      <c r="BM44" s="309"/>
      <c r="BN44" s="307"/>
      <c r="BO44" s="309"/>
      <c r="BP44" s="307"/>
      <c r="BQ44" s="309"/>
      <c r="BR44" s="307"/>
      <c r="BS44" s="309"/>
      <c r="BT44" s="290">
        <f>IF('Daten 2021'!$AW44="x",'Daten 2021'!$AV44,0)+IF('Daten 2021'!$AY44="x",'Daten 2021'!$AX44,0)+IF('Daten 2021'!$BA44="x",'Daten 2021'!$AZ44,0)+IF('Daten 2021'!$BC44="x",'Daten 2021'!$BB44,0)+IF('Daten 2021'!$BE44="x",'Daten 2021'!$BD44,0)+IF('Daten 2021'!$BG44="x",'Daten 2021'!$BF44,0)+IF('Daten 2021'!$BI44="x",'Daten 2021'!$BH44,0)+IF('Daten 2021'!$BK44="x",'Daten 2021'!$BJ44,0)+IF('Daten 2021'!$BM44="x",'Daten 2021'!$BL44,0)+IF('Daten 2021'!$BO44="x",'Daten 2021'!$BN44,0)+IF('Daten 2021'!$BQ44="x",'Daten 2021'!$BP44,0)+IF('Daten 2021'!$BS44="x",'Daten 2021'!$BR44,0)</f>
        <v>277868.79999999999</v>
      </c>
      <c r="BU44" s="289" t="s">
        <v>244</v>
      </c>
      <c r="BV44" s="289"/>
      <c r="BW44" s="289"/>
      <c r="BX44" s="289"/>
      <c r="BY44" s="289"/>
      <c r="BZ44" s="289"/>
    </row>
    <row r="45" spans="1:78" x14ac:dyDescent="0.3">
      <c r="A45" s="291" t="s">
        <v>51</v>
      </c>
      <c r="B45" s="291" t="s">
        <v>9</v>
      </c>
      <c r="C45" s="291" t="s">
        <v>179</v>
      </c>
      <c r="D45" s="291" t="s">
        <v>290</v>
      </c>
      <c r="E45" s="291" t="s">
        <v>467</v>
      </c>
      <c r="F45" s="291" t="s">
        <v>375</v>
      </c>
      <c r="G45" s="291"/>
      <c r="H45" s="291"/>
      <c r="I45" s="291"/>
      <c r="J45" s="291">
        <v>6</v>
      </c>
      <c r="K45" s="291">
        <v>840</v>
      </c>
      <c r="L45" s="291">
        <v>12348</v>
      </c>
      <c r="M45" s="291">
        <v>6</v>
      </c>
      <c r="N45" s="291">
        <v>720</v>
      </c>
      <c r="O45" s="291">
        <v>14040</v>
      </c>
      <c r="P45" s="291">
        <v>3</v>
      </c>
      <c r="Q45" s="291">
        <v>15</v>
      </c>
      <c r="R45" s="291">
        <v>2580</v>
      </c>
      <c r="S45" s="291">
        <v>3</v>
      </c>
      <c r="T45" s="291">
        <v>15</v>
      </c>
      <c r="U45" s="291">
        <v>2580</v>
      </c>
      <c r="V45" s="291">
        <v>50</v>
      </c>
      <c r="W45" s="291">
        <v>8000</v>
      </c>
      <c r="X45" s="291">
        <v>0</v>
      </c>
      <c r="Y45" s="291">
        <v>0</v>
      </c>
      <c r="Z45" s="291">
        <v>0</v>
      </c>
      <c r="AA45" s="291">
        <v>0</v>
      </c>
      <c r="AB45" s="291">
        <v>0</v>
      </c>
      <c r="AC45" s="291">
        <v>0</v>
      </c>
      <c r="AD45" s="291">
        <v>0</v>
      </c>
      <c r="AE45" s="291">
        <v>0</v>
      </c>
      <c r="AF45" s="291">
        <v>0</v>
      </c>
      <c r="AG45" s="291">
        <v>0</v>
      </c>
      <c r="AH45" s="291"/>
      <c r="AI45" s="291"/>
      <c r="AJ45" s="291"/>
      <c r="AK45" s="291"/>
      <c r="AL45" s="291"/>
      <c r="AM45" s="291">
        <v>7200</v>
      </c>
      <c r="AN45" s="291">
        <v>18</v>
      </c>
      <c r="AO45" s="292">
        <v>46748</v>
      </c>
      <c r="AP45" s="291"/>
      <c r="AQ45" s="291"/>
      <c r="AR45" s="291" t="s">
        <v>243</v>
      </c>
      <c r="AS45" s="291">
        <v>37398.400000000001</v>
      </c>
      <c r="AT45" s="291">
        <v>18699.2</v>
      </c>
      <c r="AU45" s="291">
        <v>9349.6</v>
      </c>
      <c r="AV45" s="299">
        <v>37398.400000000001</v>
      </c>
      <c r="AW45" s="300" t="s">
        <v>772</v>
      </c>
      <c r="AX45" s="299">
        <v>9349.5999999999985</v>
      </c>
      <c r="AY45" s="301"/>
      <c r="AZ45" s="307"/>
      <c r="BA45" s="303"/>
      <c r="BB45" s="307"/>
      <c r="BC45" s="308"/>
      <c r="BD45" s="307"/>
      <c r="BE45" s="304"/>
      <c r="BF45" s="307"/>
      <c r="BG45" s="309"/>
      <c r="BH45" s="307"/>
      <c r="BI45" s="309"/>
      <c r="BJ45" s="307"/>
      <c r="BK45" s="309"/>
      <c r="BL45" s="307"/>
      <c r="BM45" s="309"/>
      <c r="BN45" s="307"/>
      <c r="BO45" s="309"/>
      <c r="BP45" s="307"/>
      <c r="BQ45" s="309"/>
      <c r="BR45" s="307"/>
      <c r="BS45" s="309"/>
      <c r="BT45" s="292">
        <f>IF('Daten 2021'!$AW45="x",'Daten 2021'!$AV45,0)+IF('Daten 2021'!$AY45="x",'Daten 2021'!$AX45,0)+IF('Daten 2021'!$BA45="x",'Daten 2021'!$AZ45,0)+IF('Daten 2021'!$BC45="x",'Daten 2021'!$BB45,0)+IF('Daten 2021'!$BE45="x",'Daten 2021'!$BD45,0)+IF('Daten 2021'!$BG45="x",'Daten 2021'!$BF45,0)+IF('Daten 2021'!$BI45="x",'Daten 2021'!$BH45,0)+IF('Daten 2021'!$BK45="x",'Daten 2021'!$BJ45,0)+IF('Daten 2021'!$BM45="x",'Daten 2021'!$BL45,0)+IF('Daten 2021'!$BO45="x",'Daten 2021'!$BN45,0)+IF('Daten 2021'!$BQ45="x",'Daten 2021'!$BP45,0)+IF('Daten 2021'!$BS45="x",'Daten 2021'!$BR45,0)</f>
        <v>37398.400000000001</v>
      </c>
      <c r="BU45" s="291" t="s">
        <v>244</v>
      </c>
      <c r="BV45" s="291"/>
      <c r="BW45" s="291"/>
      <c r="BX45" s="291"/>
      <c r="BY45" s="291"/>
      <c r="BZ45" s="291"/>
    </row>
    <row r="46" spans="1:78" x14ac:dyDescent="0.3">
      <c r="A46" s="289" t="s">
        <v>291</v>
      </c>
      <c r="B46" s="291" t="s">
        <v>821</v>
      </c>
      <c r="C46" s="289" t="s">
        <v>333</v>
      </c>
      <c r="D46" s="289" t="s">
        <v>292</v>
      </c>
      <c r="E46" s="289" t="s">
        <v>468</v>
      </c>
      <c r="F46" s="289" t="s">
        <v>376</v>
      </c>
      <c r="G46" s="289"/>
      <c r="H46" s="289" t="s">
        <v>377</v>
      </c>
      <c r="I46" s="289"/>
      <c r="J46" s="289">
        <v>0</v>
      </c>
      <c r="K46" s="289">
        <v>0</v>
      </c>
      <c r="L46" s="289">
        <v>0</v>
      </c>
      <c r="M46" s="289">
        <v>8</v>
      </c>
      <c r="N46" s="289">
        <v>856</v>
      </c>
      <c r="O46" s="289">
        <v>17460</v>
      </c>
      <c r="P46" s="289">
        <v>3</v>
      </c>
      <c r="Q46" s="289">
        <v>15</v>
      </c>
      <c r="R46" s="289">
        <v>2580</v>
      </c>
      <c r="S46" s="289">
        <v>3</v>
      </c>
      <c r="T46" s="289">
        <v>15</v>
      </c>
      <c r="U46" s="289">
        <v>2580</v>
      </c>
      <c r="V46" s="289">
        <v>0</v>
      </c>
      <c r="W46" s="289">
        <v>0</v>
      </c>
      <c r="X46" s="289">
        <v>0</v>
      </c>
      <c r="Y46" s="289">
        <v>0</v>
      </c>
      <c r="Z46" s="289">
        <v>0</v>
      </c>
      <c r="AA46" s="289">
        <v>0</v>
      </c>
      <c r="AB46" s="289">
        <v>0</v>
      </c>
      <c r="AC46" s="289">
        <v>0</v>
      </c>
      <c r="AD46" s="289">
        <v>0</v>
      </c>
      <c r="AE46" s="289">
        <v>0</v>
      </c>
      <c r="AF46" s="289">
        <v>0</v>
      </c>
      <c r="AG46" s="289">
        <v>0</v>
      </c>
      <c r="AH46" s="289"/>
      <c r="AI46" s="289"/>
      <c r="AJ46" s="289"/>
      <c r="AK46" s="289"/>
      <c r="AL46" s="289"/>
      <c r="AM46" s="289">
        <v>5600</v>
      </c>
      <c r="AN46" s="289">
        <v>14</v>
      </c>
      <c r="AO46" s="290">
        <v>28220</v>
      </c>
      <c r="AP46" s="289"/>
      <c r="AQ46" s="289"/>
      <c r="AR46" s="289" t="s">
        <v>243</v>
      </c>
      <c r="AS46" s="289">
        <v>22576</v>
      </c>
      <c r="AT46" s="289">
        <v>11288</v>
      </c>
      <c r="AU46" s="289">
        <v>5644</v>
      </c>
      <c r="AV46" s="299">
        <v>22576</v>
      </c>
      <c r="AW46" s="300" t="s">
        <v>772</v>
      </c>
      <c r="AX46" s="299">
        <v>5644</v>
      </c>
      <c r="AY46" s="301"/>
      <c r="AZ46" s="307"/>
      <c r="BA46" s="303"/>
      <c r="BB46" s="307"/>
      <c r="BC46" s="308"/>
      <c r="BD46" s="307"/>
      <c r="BE46" s="304"/>
      <c r="BF46" s="307"/>
      <c r="BG46" s="309"/>
      <c r="BH46" s="307"/>
      <c r="BI46" s="309"/>
      <c r="BJ46" s="307"/>
      <c r="BK46" s="309"/>
      <c r="BL46" s="307"/>
      <c r="BM46" s="309"/>
      <c r="BN46" s="307"/>
      <c r="BO46" s="309"/>
      <c r="BP46" s="307"/>
      <c r="BQ46" s="309"/>
      <c r="BR46" s="307"/>
      <c r="BS46" s="309"/>
      <c r="BT46" s="290">
        <f>IF('Daten 2021'!$AW46="x",'Daten 2021'!$AV46,0)+IF('Daten 2021'!$AY46="x",'Daten 2021'!$AX46,0)+IF('Daten 2021'!$BA46="x",'Daten 2021'!$AZ46,0)+IF('Daten 2021'!$BC46="x",'Daten 2021'!$BB46,0)+IF('Daten 2021'!$BE46="x",'Daten 2021'!$BD46,0)+IF('Daten 2021'!$BG46="x",'Daten 2021'!$BF46,0)+IF('Daten 2021'!$BI46="x",'Daten 2021'!$BH46,0)+IF('Daten 2021'!$BK46="x",'Daten 2021'!$BJ46,0)+IF('Daten 2021'!$BM46="x",'Daten 2021'!$BL46,0)+IF('Daten 2021'!$BO46="x",'Daten 2021'!$BN46,0)+IF('Daten 2021'!$BQ46="x",'Daten 2021'!$BP46,0)+IF('Daten 2021'!$BS46="x",'Daten 2021'!$BR46,0)</f>
        <v>22576</v>
      </c>
      <c r="BU46" s="289" t="s">
        <v>244</v>
      </c>
      <c r="BV46" s="289"/>
      <c r="BW46" s="289"/>
      <c r="BX46" s="289"/>
      <c r="BY46" s="289"/>
      <c r="BZ46" s="289"/>
    </row>
    <row r="47" spans="1:78" x14ac:dyDescent="0.3">
      <c r="A47" s="291" t="s">
        <v>52</v>
      </c>
      <c r="B47" s="291" t="s">
        <v>806</v>
      </c>
      <c r="C47" s="291" t="s">
        <v>180</v>
      </c>
      <c r="D47" s="291" t="s">
        <v>293</v>
      </c>
      <c r="E47" s="291" t="s">
        <v>469</v>
      </c>
      <c r="F47" s="291" t="s">
        <v>410</v>
      </c>
      <c r="G47" s="291"/>
      <c r="H47" s="291" t="s">
        <v>554</v>
      </c>
      <c r="I47" s="291"/>
      <c r="J47" s="291">
        <v>38</v>
      </c>
      <c r="K47" s="291">
        <v>4700</v>
      </c>
      <c r="L47" s="291">
        <v>73314</v>
      </c>
      <c r="M47" s="291">
        <v>36</v>
      </c>
      <c r="N47" s="291">
        <v>3800</v>
      </c>
      <c r="O47" s="291">
        <v>77940</v>
      </c>
      <c r="P47" s="291">
        <v>11</v>
      </c>
      <c r="Q47" s="291">
        <v>55</v>
      </c>
      <c r="R47" s="291">
        <v>9460</v>
      </c>
      <c r="S47" s="291">
        <v>9</v>
      </c>
      <c r="T47" s="291">
        <v>45</v>
      </c>
      <c r="U47" s="291">
        <v>7740</v>
      </c>
      <c r="V47" s="291">
        <v>20</v>
      </c>
      <c r="W47" s="291">
        <v>8000</v>
      </c>
      <c r="X47" s="291">
        <v>20</v>
      </c>
      <c r="Y47" s="291">
        <v>8000</v>
      </c>
      <c r="Z47" s="291">
        <v>20</v>
      </c>
      <c r="AA47" s="291">
        <v>8000</v>
      </c>
      <c r="AB47" s="291">
        <v>20</v>
      </c>
      <c r="AC47" s="291">
        <v>8000</v>
      </c>
      <c r="AD47" s="291">
        <v>20</v>
      </c>
      <c r="AE47" s="291">
        <v>8000</v>
      </c>
      <c r="AF47" s="291">
        <v>0</v>
      </c>
      <c r="AG47" s="291">
        <v>0</v>
      </c>
      <c r="AH47" s="291"/>
      <c r="AI47" s="291"/>
      <c r="AJ47" s="291"/>
      <c r="AK47" s="291"/>
      <c r="AL47" s="291"/>
      <c r="AM47" s="291">
        <v>37600</v>
      </c>
      <c r="AN47" s="291">
        <v>94</v>
      </c>
      <c r="AO47" s="292">
        <v>246054</v>
      </c>
      <c r="AP47" s="291"/>
      <c r="AQ47" s="291"/>
      <c r="AR47" s="289" t="s">
        <v>253</v>
      </c>
      <c r="AS47" s="291">
        <v>196843.2</v>
      </c>
      <c r="AT47" s="291">
        <v>98421.6</v>
      </c>
      <c r="AU47" s="291">
        <v>49210.8</v>
      </c>
      <c r="AV47" s="299">
        <v>98421.6</v>
      </c>
      <c r="AW47" s="300" t="s">
        <v>772</v>
      </c>
      <c r="AX47" s="299">
        <v>98421.6</v>
      </c>
      <c r="AY47" s="301"/>
      <c r="AZ47" s="299">
        <v>49210.799999999988</v>
      </c>
      <c r="BA47" s="301"/>
      <c r="BB47" s="307"/>
      <c r="BC47" s="308"/>
      <c r="BD47" s="307"/>
      <c r="BE47" s="304"/>
      <c r="BF47" s="307"/>
      <c r="BG47" s="309"/>
      <c r="BH47" s="307"/>
      <c r="BI47" s="309"/>
      <c r="BJ47" s="307"/>
      <c r="BK47" s="309"/>
      <c r="BL47" s="307"/>
      <c r="BM47" s="309"/>
      <c r="BN47" s="307"/>
      <c r="BO47" s="309"/>
      <c r="BP47" s="307"/>
      <c r="BQ47" s="309"/>
      <c r="BR47" s="307"/>
      <c r="BS47" s="309"/>
      <c r="BT47" s="292">
        <f>IF('Daten 2021'!$AW47="x",'Daten 2021'!$AV47,0)+IF('Daten 2021'!$AY47="x",'Daten 2021'!$AX47,0)+IF('Daten 2021'!$BA47="x",'Daten 2021'!$AZ47,0)+IF('Daten 2021'!$BC47="x",'Daten 2021'!$BB47,0)+IF('Daten 2021'!$BE47="x",'Daten 2021'!$BD47,0)+IF('Daten 2021'!$BG47="x",'Daten 2021'!$BF47,0)+IF('Daten 2021'!$BI47="x",'Daten 2021'!$BH47,0)+IF('Daten 2021'!$BK47="x",'Daten 2021'!$BJ47,0)+IF('Daten 2021'!$BM47="x",'Daten 2021'!$BL47,0)+IF('Daten 2021'!$BO47="x",'Daten 2021'!$BN47,0)+IF('Daten 2021'!$BQ47="x",'Daten 2021'!$BP47,0)+IF('Daten 2021'!$BS47="x",'Daten 2021'!$BR47,0)</f>
        <v>98421.6</v>
      </c>
      <c r="BU47" s="291" t="s">
        <v>244</v>
      </c>
      <c r="BV47" s="291"/>
      <c r="BW47" s="291"/>
      <c r="BX47" s="291"/>
      <c r="BY47" s="291"/>
      <c r="BZ47" s="291"/>
    </row>
    <row r="48" spans="1:78" x14ac:dyDescent="0.3">
      <c r="A48" s="289" t="s">
        <v>53</v>
      </c>
      <c r="B48" s="291" t="s">
        <v>98</v>
      </c>
      <c r="C48" s="289" t="s">
        <v>181</v>
      </c>
      <c r="D48" s="289" t="s">
        <v>294</v>
      </c>
      <c r="E48" s="289" t="s">
        <v>470</v>
      </c>
      <c r="F48" s="289" t="s">
        <v>378</v>
      </c>
      <c r="G48" s="289"/>
      <c r="H48" s="289"/>
      <c r="I48" s="289"/>
      <c r="J48" s="289">
        <v>152</v>
      </c>
      <c r="K48" s="289">
        <v>10279</v>
      </c>
      <c r="L48" s="289">
        <v>151104</v>
      </c>
      <c r="M48" s="289">
        <v>59</v>
      </c>
      <c r="N48" s="289">
        <v>7595</v>
      </c>
      <c r="O48" s="289">
        <v>148100</v>
      </c>
      <c r="P48" s="289">
        <v>18</v>
      </c>
      <c r="Q48" s="289">
        <v>90</v>
      </c>
      <c r="R48" s="289">
        <v>15480</v>
      </c>
      <c r="S48" s="289">
        <v>18</v>
      </c>
      <c r="T48" s="289">
        <v>90</v>
      </c>
      <c r="U48" s="289">
        <v>15480</v>
      </c>
      <c r="V48" s="289">
        <v>20</v>
      </c>
      <c r="W48" s="289">
        <v>8000</v>
      </c>
      <c r="X48" s="289">
        <v>20</v>
      </c>
      <c r="Y48" s="289">
        <v>8000</v>
      </c>
      <c r="Z48" s="289">
        <v>15</v>
      </c>
      <c r="AA48" s="289">
        <v>6000</v>
      </c>
      <c r="AB48" s="289">
        <v>15</v>
      </c>
      <c r="AC48" s="289">
        <v>6000</v>
      </c>
      <c r="AD48" s="289">
        <v>0</v>
      </c>
      <c r="AE48" s="289">
        <v>0</v>
      </c>
      <c r="AF48" s="289">
        <v>0</v>
      </c>
      <c r="AG48" s="289">
        <v>0</v>
      </c>
      <c r="AH48" s="289"/>
      <c r="AI48" s="289"/>
      <c r="AJ48" s="289"/>
      <c r="AK48" s="289"/>
      <c r="AL48" s="289"/>
      <c r="AM48" s="289">
        <v>73810</v>
      </c>
      <c r="AN48" s="289">
        <v>247</v>
      </c>
      <c r="AO48" s="290">
        <v>431974</v>
      </c>
      <c r="AP48" s="289"/>
      <c r="AQ48" s="289"/>
      <c r="AR48" s="289" t="s">
        <v>243</v>
      </c>
      <c r="AS48" s="289">
        <v>317939.20000000001</v>
      </c>
      <c r="AT48" s="289">
        <v>158969.60000000001</v>
      </c>
      <c r="AU48" s="289">
        <v>79484.800000000003</v>
      </c>
      <c r="AV48" s="299">
        <v>317939.20000000001</v>
      </c>
      <c r="AW48" s="300" t="s">
        <v>772</v>
      </c>
      <c r="AX48" s="305">
        <v>27640</v>
      </c>
      <c r="AY48" s="306" t="s">
        <v>772</v>
      </c>
      <c r="AZ48" s="305">
        <v>86394.799999999988</v>
      </c>
      <c r="BA48" s="306"/>
      <c r="BB48" s="307"/>
      <c r="BC48" s="308"/>
      <c r="BD48" s="307"/>
      <c r="BE48" s="304"/>
      <c r="BF48" s="307"/>
      <c r="BG48" s="309"/>
      <c r="BH48" s="307"/>
      <c r="BI48" s="309"/>
      <c r="BJ48" s="307"/>
      <c r="BK48" s="309"/>
      <c r="BL48" s="307"/>
      <c r="BM48" s="309"/>
      <c r="BN48" s="307"/>
      <c r="BO48" s="309"/>
      <c r="BP48" s="307"/>
      <c r="BQ48" s="309"/>
      <c r="BR48" s="307"/>
      <c r="BS48" s="309"/>
      <c r="BT48" s="290">
        <f>IF('Daten 2021'!$AW48="x",'Daten 2021'!$AV48,0)+IF('Daten 2021'!$AY48="x",'Daten 2021'!$AX48,0)+IF('Daten 2021'!$BA48="x",'Daten 2021'!$AZ48,0)+IF('Daten 2021'!$BC48="x",'Daten 2021'!$BB48,0)+IF('Daten 2021'!$BE48="x",'Daten 2021'!$BD48,0)+IF('Daten 2021'!$BG48="x",'Daten 2021'!$BF48,0)+IF('Daten 2021'!$BI48="x",'Daten 2021'!$BH48,0)+IF('Daten 2021'!$BK48="x",'Daten 2021'!$BJ48,0)+IF('Daten 2021'!$BM48="x",'Daten 2021'!$BL48,0)+IF('Daten 2021'!$BO48="x",'Daten 2021'!$BN48,0)+IF('Daten 2021'!$BQ48="x",'Daten 2021'!$BP48,0)+IF('Daten 2021'!$BS48="x",'Daten 2021'!$BR48,0)</f>
        <v>345579.2</v>
      </c>
      <c r="BU48" s="289" t="s">
        <v>244</v>
      </c>
      <c r="BV48" s="289"/>
      <c r="BW48" s="289"/>
      <c r="BX48" s="289"/>
      <c r="BY48" s="289"/>
      <c r="BZ48" s="289"/>
    </row>
    <row r="49" spans="1:78" x14ac:dyDescent="0.3">
      <c r="A49" s="291" t="s">
        <v>54</v>
      </c>
      <c r="B49" s="291" t="s">
        <v>124</v>
      </c>
      <c r="C49" s="291" t="s">
        <v>182</v>
      </c>
      <c r="D49" s="291" t="s">
        <v>295</v>
      </c>
      <c r="E49" s="291" t="s">
        <v>471</v>
      </c>
      <c r="F49" s="291" t="s">
        <v>380</v>
      </c>
      <c r="G49" s="291"/>
      <c r="H49" s="291" t="s">
        <v>379</v>
      </c>
      <c r="I49" s="291"/>
      <c r="J49" s="291">
        <v>15</v>
      </c>
      <c r="K49" s="291">
        <v>2069</v>
      </c>
      <c r="L49" s="291">
        <v>30420</v>
      </c>
      <c r="M49" s="291">
        <v>3</v>
      </c>
      <c r="N49" s="291">
        <v>208</v>
      </c>
      <c r="O49" s="291">
        <v>4060</v>
      </c>
      <c r="P49" s="291">
        <v>2</v>
      </c>
      <c r="Q49" s="291">
        <v>7</v>
      </c>
      <c r="R49" s="291">
        <v>1400</v>
      </c>
      <c r="S49" s="291">
        <v>2</v>
      </c>
      <c r="T49" s="291">
        <v>7</v>
      </c>
      <c r="U49" s="291">
        <v>1400</v>
      </c>
      <c r="V49" s="291">
        <v>0</v>
      </c>
      <c r="W49" s="291">
        <v>0</v>
      </c>
      <c r="X49" s="291">
        <v>0</v>
      </c>
      <c r="Y49" s="291">
        <v>0</v>
      </c>
      <c r="Z49" s="291">
        <v>0</v>
      </c>
      <c r="AA49" s="291">
        <v>0</v>
      </c>
      <c r="AB49" s="291">
        <v>0</v>
      </c>
      <c r="AC49" s="291">
        <v>0</v>
      </c>
      <c r="AD49" s="291">
        <v>0</v>
      </c>
      <c r="AE49" s="291">
        <v>0</v>
      </c>
      <c r="AF49" s="291">
        <v>0</v>
      </c>
      <c r="AG49" s="291">
        <v>0</v>
      </c>
      <c r="AH49" s="291"/>
      <c r="AI49" s="291"/>
      <c r="AJ49" s="291"/>
      <c r="AK49" s="291"/>
      <c r="AL49" s="291"/>
      <c r="AM49" s="291">
        <v>8800</v>
      </c>
      <c r="AN49" s="291">
        <v>22</v>
      </c>
      <c r="AO49" s="292">
        <v>46080</v>
      </c>
      <c r="AP49" s="291"/>
      <c r="AQ49" s="291"/>
      <c r="AR49" s="291" t="s">
        <v>243</v>
      </c>
      <c r="AS49" s="291">
        <v>49555.200000000004</v>
      </c>
      <c r="AT49" s="291">
        <v>24777.600000000002</v>
      </c>
      <c r="AU49" s="291">
        <v>12388.800000000001</v>
      </c>
      <c r="AV49" s="299">
        <v>49555.199999999997</v>
      </c>
      <c r="AW49" s="300" t="s">
        <v>772</v>
      </c>
      <c r="AX49" s="312">
        <v>-3475.1999999999971</v>
      </c>
      <c r="AY49" s="313" t="s">
        <v>772</v>
      </c>
      <c r="AZ49" s="307"/>
      <c r="BA49" s="303"/>
      <c r="BB49" s="307"/>
      <c r="BC49" s="308"/>
      <c r="BD49" s="307"/>
      <c r="BE49" s="304"/>
      <c r="BF49" s="307"/>
      <c r="BG49" s="309"/>
      <c r="BH49" s="307"/>
      <c r="BI49" s="309"/>
      <c r="BJ49" s="307"/>
      <c r="BK49" s="309"/>
      <c r="BL49" s="307"/>
      <c r="BM49" s="309"/>
      <c r="BN49" s="307"/>
      <c r="BO49" s="309"/>
      <c r="BP49" s="307"/>
      <c r="BQ49" s="309"/>
      <c r="BR49" s="307"/>
      <c r="BS49" s="309"/>
      <c r="BT49" s="292">
        <f>IF('Daten 2021'!$AW49="x",'Daten 2021'!$AV49,0)+IF('Daten 2021'!$AY49="x",'Daten 2021'!$AX49,0)+IF('Daten 2021'!$BA49="x",'Daten 2021'!$AZ49,0)+IF('Daten 2021'!$BC49="x",'Daten 2021'!$BB49,0)+IF('Daten 2021'!$BE49="x",'Daten 2021'!$BD49,0)+IF('Daten 2021'!$BG49="x",'Daten 2021'!$BF49,0)+IF('Daten 2021'!$BI49="x",'Daten 2021'!$BH49,0)+IF('Daten 2021'!$BK49="x",'Daten 2021'!$BJ49,0)+IF('Daten 2021'!$BM49="x",'Daten 2021'!$BL49,0)+IF('Daten 2021'!$BO49="x",'Daten 2021'!$BN49,0)+IF('Daten 2021'!$BQ49="x",'Daten 2021'!$BP49,0)+IF('Daten 2021'!$BS49="x",'Daten 2021'!$BR49,0)</f>
        <v>46080</v>
      </c>
      <c r="BU49" s="291" t="s">
        <v>244</v>
      </c>
      <c r="BV49" s="291"/>
      <c r="BW49" s="291"/>
      <c r="BX49" s="291"/>
      <c r="BY49" s="291"/>
      <c r="BZ49" s="291"/>
    </row>
    <row r="50" spans="1:78" x14ac:dyDescent="0.3">
      <c r="A50" s="289" t="s">
        <v>55</v>
      </c>
      <c r="B50" s="291" t="s">
        <v>99</v>
      </c>
      <c r="C50" s="289" t="s">
        <v>183</v>
      </c>
      <c r="D50" s="289" t="s">
        <v>296</v>
      </c>
      <c r="E50" s="289" t="s">
        <v>472</v>
      </c>
      <c r="F50" s="289" t="s">
        <v>381</v>
      </c>
      <c r="G50" s="289"/>
      <c r="H50" s="289"/>
      <c r="I50" s="289"/>
      <c r="J50" s="289">
        <v>121</v>
      </c>
      <c r="K50" s="289">
        <v>14708</v>
      </c>
      <c r="L50" s="289">
        <v>231414</v>
      </c>
      <c r="M50" s="289">
        <v>41</v>
      </c>
      <c r="N50" s="289">
        <v>4296</v>
      </c>
      <c r="O50" s="289">
        <v>88380</v>
      </c>
      <c r="P50" s="289">
        <v>12</v>
      </c>
      <c r="Q50" s="289">
        <v>60</v>
      </c>
      <c r="R50" s="289">
        <v>10320</v>
      </c>
      <c r="S50" s="289">
        <v>12</v>
      </c>
      <c r="T50" s="289">
        <v>60</v>
      </c>
      <c r="U50" s="289">
        <v>10320</v>
      </c>
      <c r="V50" s="289">
        <v>20</v>
      </c>
      <c r="W50" s="289">
        <v>8000</v>
      </c>
      <c r="X50" s="289">
        <v>20</v>
      </c>
      <c r="Y50" s="289">
        <v>8000</v>
      </c>
      <c r="Z50" s="289">
        <v>20</v>
      </c>
      <c r="AA50" s="289">
        <v>8000</v>
      </c>
      <c r="AB50" s="289">
        <v>20</v>
      </c>
      <c r="AC50" s="289">
        <v>8000</v>
      </c>
      <c r="AD50" s="289">
        <v>0</v>
      </c>
      <c r="AE50" s="289">
        <v>0</v>
      </c>
      <c r="AF50" s="289">
        <v>0</v>
      </c>
      <c r="AG50" s="289">
        <v>0</v>
      </c>
      <c r="AH50" s="289"/>
      <c r="AI50" s="289"/>
      <c r="AJ50" s="289"/>
      <c r="AK50" s="289"/>
      <c r="AL50" s="289"/>
      <c r="AM50" s="289">
        <v>59780</v>
      </c>
      <c r="AN50" s="289">
        <v>186</v>
      </c>
      <c r="AO50" s="290">
        <v>432214</v>
      </c>
      <c r="AP50" s="289"/>
      <c r="AQ50" s="289"/>
      <c r="AR50" s="289" t="s">
        <v>243</v>
      </c>
      <c r="AS50" s="289">
        <v>345771.2</v>
      </c>
      <c r="AT50" s="289">
        <v>172885.6</v>
      </c>
      <c r="AU50" s="289">
        <v>86442.8</v>
      </c>
      <c r="AV50" s="299">
        <v>345771.2</v>
      </c>
      <c r="AW50" s="300" t="s">
        <v>772</v>
      </c>
      <c r="AX50" s="299">
        <v>86442.799999999988</v>
      </c>
      <c r="AY50" s="301"/>
      <c r="AZ50" s="307"/>
      <c r="BA50" s="303"/>
      <c r="BB50" s="307"/>
      <c r="BC50" s="308"/>
      <c r="BD50" s="307"/>
      <c r="BE50" s="304"/>
      <c r="BF50" s="307"/>
      <c r="BG50" s="309"/>
      <c r="BH50" s="307"/>
      <c r="BI50" s="309"/>
      <c r="BJ50" s="307"/>
      <c r="BK50" s="309"/>
      <c r="BL50" s="307"/>
      <c r="BM50" s="309"/>
      <c r="BN50" s="307"/>
      <c r="BO50" s="309"/>
      <c r="BP50" s="307"/>
      <c r="BQ50" s="309"/>
      <c r="BR50" s="307"/>
      <c r="BS50" s="309"/>
      <c r="BT50" s="290">
        <f>IF('Daten 2021'!$AW50="x",'Daten 2021'!$AV50,0)+IF('Daten 2021'!$AY50="x",'Daten 2021'!$AX50,0)+IF('Daten 2021'!$BA50="x",'Daten 2021'!$AZ50,0)+IF('Daten 2021'!$BC50="x",'Daten 2021'!$BB50,0)+IF('Daten 2021'!$BE50="x",'Daten 2021'!$BD50,0)+IF('Daten 2021'!$BG50="x",'Daten 2021'!$BF50,0)+IF('Daten 2021'!$BI50="x",'Daten 2021'!$BH50,0)+IF('Daten 2021'!$BK50="x",'Daten 2021'!$BJ50,0)+IF('Daten 2021'!$BM50="x",'Daten 2021'!$BL50,0)+IF('Daten 2021'!$BO50="x",'Daten 2021'!$BN50,0)+IF('Daten 2021'!$BQ50="x",'Daten 2021'!$BP50,0)+IF('Daten 2021'!$BS50="x",'Daten 2021'!$BR50,0)</f>
        <v>345771.2</v>
      </c>
      <c r="BU50" s="289" t="s">
        <v>244</v>
      </c>
      <c r="BV50" s="289"/>
      <c r="BW50" s="289"/>
      <c r="BX50" s="289"/>
      <c r="BY50" s="289"/>
      <c r="BZ50" s="289"/>
    </row>
    <row r="51" spans="1:78" x14ac:dyDescent="0.3">
      <c r="A51" s="291" t="s">
        <v>56</v>
      </c>
      <c r="B51" s="291" t="s">
        <v>115</v>
      </c>
      <c r="C51" s="291" t="s">
        <v>184</v>
      </c>
      <c r="D51" s="291" t="s">
        <v>297</v>
      </c>
      <c r="E51" s="291" t="s">
        <v>473</v>
      </c>
      <c r="F51" s="291" t="s">
        <v>382</v>
      </c>
      <c r="G51" s="291"/>
      <c r="H51" s="291"/>
      <c r="I51" s="291"/>
      <c r="J51" s="291">
        <v>747</v>
      </c>
      <c r="K51" s="291">
        <v>112299</v>
      </c>
      <c r="L51" s="291">
        <v>1650795</v>
      </c>
      <c r="M51" s="291">
        <v>295</v>
      </c>
      <c r="N51" s="291">
        <v>54871</v>
      </c>
      <c r="O51" s="291">
        <v>1069978</v>
      </c>
      <c r="P51" s="291">
        <v>0</v>
      </c>
      <c r="Q51" s="291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15</v>
      </c>
      <c r="W51" s="291">
        <v>6000</v>
      </c>
      <c r="X51" s="291">
        <v>0</v>
      </c>
      <c r="Y51" s="291">
        <v>0</v>
      </c>
      <c r="Z51" s="291">
        <v>0</v>
      </c>
      <c r="AA51" s="291">
        <v>0</v>
      </c>
      <c r="AB51" s="291">
        <v>0</v>
      </c>
      <c r="AC51" s="291">
        <v>0</v>
      </c>
      <c r="AD51" s="291">
        <v>0</v>
      </c>
      <c r="AE51" s="291">
        <v>0</v>
      </c>
      <c r="AF51" s="291">
        <v>0</v>
      </c>
      <c r="AG51" s="291">
        <v>0</v>
      </c>
      <c r="AH51" s="291"/>
      <c r="AI51" s="291"/>
      <c r="AJ51" s="291"/>
      <c r="AK51" s="291"/>
      <c r="AL51" s="291"/>
      <c r="AM51" s="291">
        <v>256660</v>
      </c>
      <c r="AN51" s="291">
        <v>1042</v>
      </c>
      <c r="AO51" s="292">
        <v>2983433</v>
      </c>
      <c r="AP51" s="291"/>
      <c r="AQ51" s="291"/>
      <c r="AR51" s="291" t="s">
        <v>253</v>
      </c>
      <c r="AS51" s="291">
        <v>1658288</v>
      </c>
      <c r="AT51" s="291">
        <v>829144</v>
      </c>
      <c r="AU51" s="291">
        <v>414572</v>
      </c>
      <c r="AV51" s="299">
        <v>829144</v>
      </c>
      <c r="AW51" s="300" t="s">
        <v>772</v>
      </c>
      <c r="AX51" s="305">
        <v>364350</v>
      </c>
      <c r="AY51" s="306" t="s">
        <v>772</v>
      </c>
      <c r="AZ51" s="321">
        <v>1193494</v>
      </c>
      <c r="BA51" s="306" t="s">
        <v>772</v>
      </c>
      <c r="BB51" s="318">
        <v>596445</v>
      </c>
      <c r="BC51" s="331"/>
      <c r="BD51" s="307"/>
      <c r="BE51" s="304"/>
      <c r="BF51" s="307"/>
      <c r="BG51" s="309"/>
      <c r="BH51" s="307"/>
      <c r="BI51" s="309"/>
      <c r="BJ51" s="307"/>
      <c r="BK51" s="309"/>
      <c r="BL51" s="307"/>
      <c r="BM51" s="309"/>
      <c r="BN51" s="307"/>
      <c r="BO51" s="309"/>
      <c r="BP51" s="307"/>
      <c r="BQ51" s="309"/>
      <c r="BR51" s="307"/>
      <c r="BS51" s="309"/>
      <c r="BT51" s="292">
        <f>IF('Daten 2021'!$AW51="x",'Daten 2021'!$AV51,0)+IF('Daten 2021'!$AY51="x",'Daten 2021'!$AX51,0)+IF('Daten 2021'!$BA51="x",'Daten 2021'!$AZ51,0)+IF('Daten 2021'!$BC51="x",'Daten 2021'!$BB51,0)+IF('Daten 2021'!$BE51="x",'Daten 2021'!$BD51,0)+IF('Daten 2021'!$BG51="x",'Daten 2021'!$BF51,0)+IF('Daten 2021'!$BI51="x",'Daten 2021'!$BH51,0)+IF('Daten 2021'!$BK51="x",'Daten 2021'!$BJ51,0)+IF('Daten 2021'!$BM51="x",'Daten 2021'!$BL51,0)+IF('Daten 2021'!$BO51="x",'Daten 2021'!$BN51,0)+IF('Daten 2021'!$BQ51="x",'Daten 2021'!$BP51,0)+IF('Daten 2021'!$BS51="x",'Daten 2021'!$BR51,0)</f>
        <v>2386988</v>
      </c>
      <c r="BU51" s="291" t="s">
        <v>244</v>
      </c>
      <c r="BV51" s="291"/>
      <c r="BW51" s="291"/>
      <c r="BX51" s="291"/>
      <c r="BY51" s="291"/>
      <c r="BZ51" s="291"/>
    </row>
    <row r="52" spans="1:78" x14ac:dyDescent="0.3">
      <c r="A52" s="289" t="s">
        <v>57</v>
      </c>
      <c r="B52" s="291" t="s">
        <v>100</v>
      </c>
      <c r="C52" s="289" t="s">
        <v>185</v>
      </c>
      <c r="D52" s="289" t="s">
        <v>298</v>
      </c>
      <c r="E52" s="289" t="s">
        <v>474</v>
      </c>
      <c r="F52" s="289" t="s">
        <v>383</v>
      </c>
      <c r="G52" s="289"/>
      <c r="H52" s="289"/>
      <c r="I52" s="289"/>
      <c r="J52" s="289">
        <v>182</v>
      </c>
      <c r="K52" s="289">
        <v>27339</v>
      </c>
      <c r="L52" s="289">
        <v>401889</v>
      </c>
      <c r="M52" s="289">
        <v>43</v>
      </c>
      <c r="N52" s="289">
        <v>6538</v>
      </c>
      <c r="O52" s="289">
        <v>127498</v>
      </c>
      <c r="P52" s="289">
        <v>0</v>
      </c>
      <c r="Q52" s="289">
        <v>0</v>
      </c>
      <c r="R52" s="289">
        <v>0</v>
      </c>
      <c r="S52" s="289">
        <v>0</v>
      </c>
      <c r="T52" s="289">
        <v>0</v>
      </c>
      <c r="U52" s="289">
        <v>0</v>
      </c>
      <c r="V52" s="289">
        <v>20</v>
      </c>
      <c r="W52" s="289">
        <v>8000</v>
      </c>
      <c r="X52" s="289">
        <v>20</v>
      </c>
      <c r="Y52" s="289">
        <v>8000</v>
      </c>
      <c r="Z52" s="289">
        <v>0</v>
      </c>
      <c r="AA52" s="289">
        <v>0</v>
      </c>
      <c r="AB52" s="289">
        <v>0</v>
      </c>
      <c r="AC52" s="289">
        <v>0</v>
      </c>
      <c r="AD52" s="289">
        <v>0</v>
      </c>
      <c r="AE52" s="289">
        <v>0</v>
      </c>
      <c r="AF52" s="289">
        <v>0</v>
      </c>
      <c r="AG52" s="289">
        <v>0</v>
      </c>
      <c r="AH52" s="289"/>
      <c r="AI52" s="289"/>
      <c r="AJ52" s="289"/>
      <c r="AK52" s="289"/>
      <c r="AL52" s="289"/>
      <c r="AM52" s="289">
        <v>68750</v>
      </c>
      <c r="AN52" s="289">
        <v>225</v>
      </c>
      <c r="AO52" s="290">
        <v>614137</v>
      </c>
      <c r="AP52" s="289"/>
      <c r="AQ52" s="289"/>
      <c r="AR52" s="289" t="s">
        <v>253</v>
      </c>
      <c r="AS52" s="289">
        <v>436057.60000000003</v>
      </c>
      <c r="AT52" s="289">
        <v>218028.80000000002</v>
      </c>
      <c r="AU52" s="289">
        <v>109014.40000000001</v>
      </c>
      <c r="AV52" s="299">
        <v>218028.79999999999</v>
      </c>
      <c r="AW52" s="300" t="s">
        <v>772</v>
      </c>
      <c r="AX52" s="299">
        <v>218028.79999999999</v>
      </c>
      <c r="AY52" s="301" t="s">
        <v>772</v>
      </c>
      <c r="AZ52" s="305">
        <v>27607.600000000002</v>
      </c>
      <c r="BA52" s="306" t="s">
        <v>772</v>
      </c>
      <c r="BB52" s="318">
        <v>18.399999999999999</v>
      </c>
      <c r="BC52" s="331" t="s">
        <v>772</v>
      </c>
      <c r="BD52" s="318">
        <v>27626.000000000004</v>
      </c>
      <c r="BE52" s="326"/>
      <c r="BF52" s="318">
        <v>122827.4</v>
      </c>
      <c r="BG52" s="326"/>
      <c r="BH52" s="307"/>
      <c r="BI52" s="309"/>
      <c r="BJ52" s="307"/>
      <c r="BK52" s="309"/>
      <c r="BL52" s="307"/>
      <c r="BM52" s="309"/>
      <c r="BN52" s="307"/>
      <c r="BO52" s="309"/>
      <c r="BP52" s="307"/>
      <c r="BQ52" s="309"/>
      <c r="BR52" s="307"/>
      <c r="BS52" s="309"/>
      <c r="BT52" s="290">
        <f>IF('Daten 2021'!$AW52="x",'Daten 2021'!$AV52,0)+IF('Daten 2021'!$AY52="x",'Daten 2021'!$AX52,0)+IF('Daten 2021'!$BA52="x",'Daten 2021'!$AZ52,0)+IF('Daten 2021'!$BC52="x",'Daten 2021'!$BB52,0)+IF('Daten 2021'!$BE52="x",'Daten 2021'!$BD52,0)+IF('Daten 2021'!$BG52="x",'Daten 2021'!$BF52,0)+IF('Daten 2021'!$BI52="x",'Daten 2021'!$BH52,0)+IF('Daten 2021'!$BK52="x",'Daten 2021'!$BJ52,0)+IF('Daten 2021'!$BM52="x",'Daten 2021'!$BL52,0)+IF('Daten 2021'!$BO52="x",'Daten 2021'!$BN52,0)+IF('Daten 2021'!$BQ52="x",'Daten 2021'!$BP52,0)+IF('Daten 2021'!$BS52="x",'Daten 2021'!$BR52,0)</f>
        <v>463683.6</v>
      </c>
      <c r="BU52" s="289" t="s">
        <v>244</v>
      </c>
      <c r="BV52" s="289"/>
      <c r="BW52" s="289"/>
      <c r="BX52" s="289"/>
      <c r="BY52" s="289"/>
      <c r="BZ52" s="289"/>
    </row>
    <row r="53" spans="1:78" x14ac:dyDescent="0.3">
      <c r="A53" s="291" t="s">
        <v>58</v>
      </c>
      <c r="B53" s="291" t="s">
        <v>101</v>
      </c>
      <c r="C53" s="291" t="s">
        <v>186</v>
      </c>
      <c r="D53" s="291" t="s">
        <v>299</v>
      </c>
      <c r="E53" s="291" t="s">
        <v>475</v>
      </c>
      <c r="F53" s="291" t="s">
        <v>817</v>
      </c>
      <c r="G53" s="291"/>
      <c r="H53" s="291"/>
      <c r="I53" s="291"/>
      <c r="J53" s="291">
        <v>105</v>
      </c>
      <c r="K53" s="291">
        <v>17930</v>
      </c>
      <c r="L53" s="291">
        <v>263565.929</v>
      </c>
      <c r="M53" s="291">
        <v>48</v>
      </c>
      <c r="N53" s="291">
        <v>6149</v>
      </c>
      <c r="O53" s="291">
        <v>119910.07</v>
      </c>
      <c r="P53" s="291">
        <v>0</v>
      </c>
      <c r="Q53" s="291">
        <v>0</v>
      </c>
      <c r="R53" s="291">
        <v>0</v>
      </c>
      <c r="S53" s="291">
        <v>0</v>
      </c>
      <c r="T53" s="291">
        <v>0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0</v>
      </c>
      <c r="AC53" s="291">
        <v>0</v>
      </c>
      <c r="AD53" s="291">
        <v>0</v>
      </c>
      <c r="AE53" s="291">
        <v>0</v>
      </c>
      <c r="AF53" s="291">
        <v>0</v>
      </c>
      <c r="AG53" s="291">
        <v>0</v>
      </c>
      <c r="AH53" s="291"/>
      <c r="AI53" s="291"/>
      <c r="AJ53" s="291"/>
      <c r="AK53" s="291"/>
      <c r="AL53" s="291"/>
      <c r="AM53" s="291">
        <v>52190</v>
      </c>
      <c r="AN53" s="291">
        <v>153</v>
      </c>
      <c r="AO53" s="292">
        <v>435665.99900000001</v>
      </c>
      <c r="AP53" s="291"/>
      <c r="AQ53" s="291"/>
      <c r="AR53" s="291" t="s">
        <v>243</v>
      </c>
      <c r="AS53" s="291">
        <v>359572.80000000005</v>
      </c>
      <c r="AT53" s="291">
        <v>179786.40000000002</v>
      </c>
      <c r="AU53" s="291">
        <v>89893.200000000012</v>
      </c>
      <c r="AV53" s="299">
        <v>359572.8</v>
      </c>
      <c r="AW53" s="300" t="s">
        <v>772</v>
      </c>
      <c r="AX53" s="305">
        <v>76093.199000000022</v>
      </c>
      <c r="AY53" s="306"/>
      <c r="AZ53" s="307"/>
      <c r="BA53" s="303"/>
      <c r="BB53" s="307"/>
      <c r="BC53" s="308"/>
      <c r="BD53" s="307"/>
      <c r="BE53" s="304"/>
      <c r="BF53" s="307"/>
      <c r="BG53" s="309"/>
      <c r="BH53" s="307"/>
      <c r="BI53" s="309"/>
      <c r="BJ53" s="307"/>
      <c r="BK53" s="309"/>
      <c r="BL53" s="307"/>
      <c r="BM53" s="309"/>
      <c r="BN53" s="307"/>
      <c r="BO53" s="309"/>
      <c r="BP53" s="307"/>
      <c r="BQ53" s="309"/>
      <c r="BR53" s="307"/>
      <c r="BS53" s="309"/>
      <c r="BT53" s="292">
        <f>IF('Daten 2021'!$AW53="x",'Daten 2021'!$AV53,0)+IF('Daten 2021'!$AY53="x",'Daten 2021'!$AX53,0)+IF('Daten 2021'!$BA53="x",'Daten 2021'!$AZ53,0)+IF('Daten 2021'!$BC53="x",'Daten 2021'!$BB53,0)+IF('Daten 2021'!$BE53="x",'Daten 2021'!$BD53,0)+IF('Daten 2021'!$BG53="x",'Daten 2021'!$BF53,0)+IF('Daten 2021'!$BI53="x",'Daten 2021'!$BH53,0)+IF('Daten 2021'!$BK53="x",'Daten 2021'!$BJ53,0)+IF('Daten 2021'!$BM53="x",'Daten 2021'!$BL53,0)+IF('Daten 2021'!$BO53="x",'Daten 2021'!$BN53,0)+IF('Daten 2021'!$BQ53="x",'Daten 2021'!$BP53,0)+IF('Daten 2021'!$BS53="x",'Daten 2021'!$BR53,0)</f>
        <v>359572.8</v>
      </c>
      <c r="BU53" s="291" t="s">
        <v>244</v>
      </c>
      <c r="BV53" s="291"/>
      <c r="BW53" s="291"/>
      <c r="BX53" s="291"/>
      <c r="BY53" s="291"/>
      <c r="BZ53" s="291"/>
    </row>
    <row r="54" spans="1:78" x14ac:dyDescent="0.3">
      <c r="A54" s="289" t="s">
        <v>59</v>
      </c>
      <c r="B54" s="291" t="s">
        <v>102</v>
      </c>
      <c r="C54" s="289" t="s">
        <v>187</v>
      </c>
      <c r="D54" s="289" t="s">
        <v>300</v>
      </c>
      <c r="E54" s="289" t="s">
        <v>476</v>
      </c>
      <c r="F54" s="289" t="s">
        <v>301</v>
      </c>
      <c r="G54" s="289"/>
      <c r="H54" s="289"/>
      <c r="I54" s="289"/>
      <c r="J54" s="289">
        <v>0</v>
      </c>
      <c r="K54" s="289">
        <v>0</v>
      </c>
      <c r="L54" s="289">
        <v>0</v>
      </c>
      <c r="M54" s="289">
        <v>73</v>
      </c>
      <c r="N54" s="289">
        <v>8114</v>
      </c>
      <c r="O54" s="289">
        <v>158220</v>
      </c>
      <c r="P54" s="289">
        <v>0</v>
      </c>
      <c r="Q54" s="289">
        <v>0</v>
      </c>
      <c r="R54" s="289">
        <v>0</v>
      </c>
      <c r="S54" s="289">
        <v>0</v>
      </c>
      <c r="T54" s="289">
        <v>0</v>
      </c>
      <c r="U54" s="289">
        <v>0</v>
      </c>
      <c r="V54" s="289">
        <v>0</v>
      </c>
      <c r="W54" s="289">
        <v>0</v>
      </c>
      <c r="X54" s="289">
        <v>0</v>
      </c>
      <c r="Y54" s="289">
        <v>0</v>
      </c>
      <c r="Z54" s="289">
        <v>0</v>
      </c>
      <c r="AA54" s="289">
        <v>0</v>
      </c>
      <c r="AB54" s="289">
        <v>0</v>
      </c>
      <c r="AC54" s="289">
        <v>0</v>
      </c>
      <c r="AD54" s="289">
        <v>0</v>
      </c>
      <c r="AE54" s="289">
        <v>0</v>
      </c>
      <c r="AF54" s="289">
        <v>0</v>
      </c>
      <c r="AG54" s="289">
        <v>0</v>
      </c>
      <c r="AH54" s="289"/>
      <c r="AI54" s="289"/>
      <c r="AJ54" s="289"/>
      <c r="AK54" s="289"/>
      <c r="AL54" s="289"/>
      <c r="AM54" s="289">
        <v>29200</v>
      </c>
      <c r="AN54" s="289">
        <v>73</v>
      </c>
      <c r="AO54" s="290">
        <v>187420</v>
      </c>
      <c r="AP54" s="289"/>
      <c r="AQ54" s="289"/>
      <c r="AR54" s="289" t="s">
        <v>243</v>
      </c>
      <c r="AS54" s="289">
        <v>173020.80000000002</v>
      </c>
      <c r="AT54" s="289">
        <v>86510.400000000009</v>
      </c>
      <c r="AU54" s="289">
        <v>43255.200000000004</v>
      </c>
      <c r="AV54" s="299">
        <v>173020.79999999999</v>
      </c>
      <c r="AW54" s="300" t="s">
        <v>772</v>
      </c>
      <c r="AX54" s="305">
        <v>14399.200000000012</v>
      </c>
      <c r="AY54" s="306"/>
      <c r="AZ54" s="307"/>
      <c r="BA54" s="303"/>
      <c r="BB54" s="307"/>
      <c r="BC54" s="308"/>
      <c r="BD54" s="307"/>
      <c r="BE54" s="304"/>
      <c r="BF54" s="307"/>
      <c r="BG54" s="309"/>
      <c r="BH54" s="307"/>
      <c r="BI54" s="309"/>
      <c r="BJ54" s="307"/>
      <c r="BK54" s="309"/>
      <c r="BL54" s="307"/>
      <c r="BM54" s="309"/>
      <c r="BN54" s="307"/>
      <c r="BO54" s="309"/>
      <c r="BP54" s="307"/>
      <c r="BQ54" s="309"/>
      <c r="BR54" s="307"/>
      <c r="BS54" s="309"/>
      <c r="BT54" s="290">
        <f>IF('Daten 2021'!$AW54="x",'Daten 2021'!$AV54,0)+IF('Daten 2021'!$AY54="x",'Daten 2021'!$AX54,0)+IF('Daten 2021'!$BA54="x",'Daten 2021'!$AZ54,0)+IF('Daten 2021'!$BC54="x",'Daten 2021'!$BB54,0)+IF('Daten 2021'!$BE54="x",'Daten 2021'!$BD54,0)+IF('Daten 2021'!$BG54="x",'Daten 2021'!$BF54,0)+IF('Daten 2021'!$BI54="x",'Daten 2021'!$BH54,0)+IF('Daten 2021'!$BK54="x",'Daten 2021'!$BJ54,0)+IF('Daten 2021'!$BM54="x",'Daten 2021'!$BL54,0)+IF('Daten 2021'!$BO54="x",'Daten 2021'!$BN54,0)+IF('Daten 2021'!$BQ54="x",'Daten 2021'!$BP54,0)+IF('Daten 2021'!$BS54="x",'Daten 2021'!$BR54,0)</f>
        <v>173020.79999999999</v>
      </c>
      <c r="BU54" s="289" t="s">
        <v>244</v>
      </c>
      <c r="BV54" s="289"/>
      <c r="BW54" s="289"/>
      <c r="BX54" s="289"/>
      <c r="BY54" s="289"/>
      <c r="BZ54" s="289"/>
    </row>
    <row r="55" spans="1:78" x14ac:dyDescent="0.3">
      <c r="A55" s="291" t="s">
        <v>60</v>
      </c>
      <c r="B55" s="291" t="s">
        <v>103</v>
      </c>
      <c r="C55" s="291" t="s">
        <v>188</v>
      </c>
      <c r="D55" s="291" t="s">
        <v>302</v>
      </c>
      <c r="E55" s="291" t="s">
        <v>477</v>
      </c>
      <c r="F55" s="291" t="s">
        <v>384</v>
      </c>
      <c r="G55" s="291"/>
      <c r="H55" s="291"/>
      <c r="I55" s="291"/>
      <c r="J55" s="291">
        <v>318</v>
      </c>
      <c r="K55" s="291">
        <v>41393</v>
      </c>
      <c r="L55" s="291">
        <v>608478</v>
      </c>
      <c r="M55" s="291">
        <v>63</v>
      </c>
      <c r="N55" s="291">
        <v>6996</v>
      </c>
      <c r="O55" s="291">
        <v>136430</v>
      </c>
      <c r="P55" s="291">
        <v>12</v>
      </c>
      <c r="Q55" s="291">
        <v>60</v>
      </c>
      <c r="R55" s="291">
        <v>10320</v>
      </c>
      <c r="S55" s="291">
        <v>18</v>
      </c>
      <c r="T55" s="291">
        <v>90</v>
      </c>
      <c r="U55" s="291">
        <v>15480</v>
      </c>
      <c r="V55" s="291">
        <v>20</v>
      </c>
      <c r="W55" s="291">
        <v>8000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0</v>
      </c>
      <c r="AE55" s="291">
        <v>0</v>
      </c>
      <c r="AF55" s="291">
        <v>0</v>
      </c>
      <c r="AG55" s="291">
        <v>0</v>
      </c>
      <c r="AH55" s="291"/>
      <c r="AI55" s="291"/>
      <c r="AJ55" s="291"/>
      <c r="AK55" s="291"/>
      <c r="AL55" s="291"/>
      <c r="AM55" s="291">
        <v>111530</v>
      </c>
      <c r="AN55" s="291">
        <v>411</v>
      </c>
      <c r="AO55" s="292">
        <v>890238</v>
      </c>
      <c r="AP55" s="291"/>
      <c r="AQ55" s="291"/>
      <c r="AR55" s="291" t="s">
        <v>253</v>
      </c>
      <c r="AS55" s="291">
        <v>711910.40000000002</v>
      </c>
      <c r="AT55" s="291">
        <v>355955.20000000001</v>
      </c>
      <c r="AU55" s="291">
        <v>177977.60000000001</v>
      </c>
      <c r="AV55" s="299">
        <v>355955.20000000001</v>
      </c>
      <c r="AW55" s="300" t="s">
        <v>772</v>
      </c>
      <c r="AX55" s="299">
        <v>355955.20000000001</v>
      </c>
      <c r="AY55" s="301" t="s">
        <v>772</v>
      </c>
      <c r="AZ55" s="305">
        <v>140</v>
      </c>
      <c r="BA55" s="306" t="s">
        <v>772</v>
      </c>
      <c r="BB55" s="305">
        <v>140</v>
      </c>
      <c r="BC55" s="317"/>
      <c r="BD55" s="305">
        <v>178047.59999999998</v>
      </c>
      <c r="BE55" s="334"/>
      <c r="BF55" s="307"/>
      <c r="BG55" s="309"/>
      <c r="BH55" s="307"/>
      <c r="BI55" s="309"/>
      <c r="BJ55" s="307"/>
      <c r="BK55" s="309"/>
      <c r="BL55" s="307"/>
      <c r="BM55" s="309"/>
      <c r="BN55" s="307"/>
      <c r="BO55" s="309"/>
      <c r="BP55" s="307"/>
      <c r="BQ55" s="309"/>
      <c r="BR55" s="307"/>
      <c r="BS55" s="309"/>
      <c r="BT55" s="292">
        <f>IF('Daten 2021'!$AW55="x",'Daten 2021'!$AV55,0)+IF('Daten 2021'!$AY55="x",'Daten 2021'!$AX55,0)+IF('Daten 2021'!$BA55="x",'Daten 2021'!$AZ55,0)+IF('Daten 2021'!$BC55="x",'Daten 2021'!$BB55,0)+IF('Daten 2021'!$BE55="x",'Daten 2021'!$BD55,0)+IF('Daten 2021'!$BG55="x",'Daten 2021'!$BF55,0)+IF('Daten 2021'!$BI55="x",'Daten 2021'!$BH55,0)+IF('Daten 2021'!$BK55="x",'Daten 2021'!$BJ55,0)+IF('Daten 2021'!$BM55="x",'Daten 2021'!$BL55,0)+IF('Daten 2021'!$BO55="x",'Daten 2021'!$BN55,0)+IF('Daten 2021'!$BQ55="x",'Daten 2021'!$BP55,0)+IF('Daten 2021'!$BS55="x",'Daten 2021'!$BR55,0)</f>
        <v>712050.4</v>
      </c>
      <c r="BU55" s="291" t="s">
        <v>244</v>
      </c>
      <c r="BV55" s="291"/>
      <c r="BW55" s="291"/>
      <c r="BX55" s="291"/>
      <c r="BY55" s="291"/>
      <c r="BZ55" s="291"/>
    </row>
    <row r="56" spans="1:78" x14ac:dyDescent="0.3">
      <c r="A56" s="289" t="s">
        <v>61</v>
      </c>
      <c r="B56" s="291" t="s">
        <v>104</v>
      </c>
      <c r="C56" s="289" t="s">
        <v>189</v>
      </c>
      <c r="D56" s="289" t="s">
        <v>303</v>
      </c>
      <c r="E56" s="289" t="s">
        <v>478</v>
      </c>
      <c r="F56" s="289" t="s">
        <v>385</v>
      </c>
      <c r="G56" s="289"/>
      <c r="H56" s="289"/>
      <c r="I56" s="289"/>
      <c r="J56" s="289">
        <v>52</v>
      </c>
      <c r="K56" s="289">
        <v>6010</v>
      </c>
      <c r="L56" s="289">
        <v>88352.16</v>
      </c>
      <c r="M56" s="289">
        <v>44</v>
      </c>
      <c r="N56" s="289">
        <v>6228</v>
      </c>
      <c r="O56" s="289">
        <v>121447.55</v>
      </c>
      <c r="P56" s="289">
        <v>7</v>
      </c>
      <c r="Q56" s="289">
        <v>23</v>
      </c>
      <c r="R56" s="289">
        <v>4600</v>
      </c>
      <c r="S56" s="289">
        <v>18</v>
      </c>
      <c r="T56" s="289">
        <v>20</v>
      </c>
      <c r="U56" s="289">
        <v>7085</v>
      </c>
      <c r="V56" s="289">
        <v>15</v>
      </c>
      <c r="W56" s="289">
        <v>6000</v>
      </c>
      <c r="X56" s="289">
        <v>0</v>
      </c>
      <c r="Y56" s="289">
        <v>0</v>
      </c>
      <c r="Z56" s="289">
        <v>0</v>
      </c>
      <c r="AA56" s="289">
        <v>0</v>
      </c>
      <c r="AB56" s="289">
        <v>0</v>
      </c>
      <c r="AC56" s="289">
        <v>0</v>
      </c>
      <c r="AD56" s="289">
        <v>0</v>
      </c>
      <c r="AE56" s="289">
        <v>0</v>
      </c>
      <c r="AF56" s="289">
        <v>0</v>
      </c>
      <c r="AG56" s="289">
        <v>0</v>
      </c>
      <c r="AH56" s="289"/>
      <c r="AI56" s="289"/>
      <c r="AJ56" s="289"/>
      <c r="AK56" s="289"/>
      <c r="AL56" s="289"/>
      <c r="AM56" s="289">
        <v>44830</v>
      </c>
      <c r="AN56" s="289">
        <v>121</v>
      </c>
      <c r="AO56" s="290">
        <v>272314.71000000002</v>
      </c>
      <c r="AP56" s="289"/>
      <c r="AQ56" s="289"/>
      <c r="AR56" s="289" t="s">
        <v>243</v>
      </c>
      <c r="AS56" s="289">
        <v>152134.39999999999</v>
      </c>
      <c r="AT56" s="289">
        <v>76067.199999999997</v>
      </c>
      <c r="AU56" s="289">
        <v>38033.599999999999</v>
      </c>
      <c r="AV56" s="299">
        <v>152134.39999999999</v>
      </c>
      <c r="AW56" s="300" t="s">
        <v>772</v>
      </c>
      <c r="AX56" s="305">
        <v>50571.16800000002</v>
      </c>
      <c r="AY56" s="306" t="s">
        <v>772</v>
      </c>
      <c r="AZ56" s="321">
        <v>50676.391999999993</v>
      </c>
      <c r="BA56" s="306" t="s">
        <v>772</v>
      </c>
      <c r="BB56" s="322">
        <v>15146.2</v>
      </c>
      <c r="BC56" s="323" t="s">
        <v>772</v>
      </c>
      <c r="BD56" s="322">
        <v>3786.5500000000175</v>
      </c>
      <c r="BE56" s="324"/>
      <c r="BF56" s="307"/>
      <c r="BG56" s="309"/>
      <c r="BH56" s="307"/>
      <c r="BI56" s="309"/>
      <c r="BJ56" s="307"/>
      <c r="BK56" s="309"/>
      <c r="BL56" s="307"/>
      <c r="BM56" s="309"/>
      <c r="BN56" s="307"/>
      <c r="BO56" s="309"/>
      <c r="BP56" s="307"/>
      <c r="BQ56" s="309"/>
      <c r="BR56" s="307"/>
      <c r="BS56" s="309"/>
      <c r="BT56" s="290">
        <f>IF('Daten 2021'!$AW56="x",'Daten 2021'!$AV56,0)+IF('Daten 2021'!$AY56="x",'Daten 2021'!$AX56,0)+IF('Daten 2021'!$BA56="x",'Daten 2021'!$AZ56,0)+IF('Daten 2021'!$BC56="x",'Daten 2021'!$BB56,0)+IF('Daten 2021'!$BE56="x",'Daten 2021'!$BD56,0)+IF('Daten 2021'!$BG56="x",'Daten 2021'!$BF56,0)+IF('Daten 2021'!$BI56="x",'Daten 2021'!$BH56,0)+IF('Daten 2021'!$BK56="x",'Daten 2021'!$BJ56,0)+IF('Daten 2021'!$BM56="x",'Daten 2021'!$BL56,0)+IF('Daten 2021'!$BO56="x",'Daten 2021'!$BN56,0)+IF('Daten 2021'!$BQ56="x",'Daten 2021'!$BP56,0)+IF('Daten 2021'!$BS56="x",'Daten 2021'!$BR56,0)</f>
        <v>268528.16000000003</v>
      </c>
      <c r="BU56" s="289" t="s">
        <v>244</v>
      </c>
      <c r="BV56" s="289"/>
      <c r="BW56" s="289"/>
      <c r="BX56" s="289"/>
      <c r="BY56" s="289"/>
      <c r="BZ56" s="289"/>
    </row>
    <row r="57" spans="1:78" x14ac:dyDescent="0.3">
      <c r="A57" s="291" t="s">
        <v>62</v>
      </c>
      <c r="B57" s="291" t="s">
        <v>105</v>
      </c>
      <c r="C57" s="291" t="s">
        <v>190</v>
      </c>
      <c r="D57" s="291" t="s">
        <v>304</v>
      </c>
      <c r="E57" s="291" t="s">
        <v>479</v>
      </c>
      <c r="F57" s="291" t="s">
        <v>386</v>
      </c>
      <c r="G57" s="291"/>
      <c r="H57" s="291"/>
      <c r="I57" s="291"/>
      <c r="J57" s="291">
        <v>52</v>
      </c>
      <c r="K57" s="291">
        <v>8602</v>
      </c>
      <c r="L57" s="291">
        <v>126444</v>
      </c>
      <c r="M57" s="291">
        <v>48</v>
      </c>
      <c r="N57" s="291">
        <v>8324</v>
      </c>
      <c r="O57" s="291">
        <v>162320</v>
      </c>
      <c r="P57" s="291">
        <v>0</v>
      </c>
      <c r="Q57" s="291">
        <v>0</v>
      </c>
      <c r="R57" s="291">
        <v>0</v>
      </c>
      <c r="S57" s="291">
        <v>4</v>
      </c>
      <c r="T57" s="291">
        <v>6</v>
      </c>
      <c r="U57" s="291">
        <v>1760</v>
      </c>
      <c r="V57" s="291">
        <v>0</v>
      </c>
      <c r="W57" s="291">
        <v>0</v>
      </c>
      <c r="X57" s="291">
        <v>0</v>
      </c>
      <c r="Y57" s="291">
        <v>0</v>
      </c>
      <c r="Z57" s="291">
        <v>0</v>
      </c>
      <c r="AA57" s="291">
        <v>0</v>
      </c>
      <c r="AB57" s="291">
        <v>0</v>
      </c>
      <c r="AC57" s="291">
        <v>0</v>
      </c>
      <c r="AD57" s="291">
        <v>0</v>
      </c>
      <c r="AE57" s="291">
        <v>0</v>
      </c>
      <c r="AF57" s="291">
        <v>0</v>
      </c>
      <c r="AG57" s="291">
        <v>0</v>
      </c>
      <c r="AH57" s="291"/>
      <c r="AI57" s="291"/>
      <c r="AJ57" s="291"/>
      <c r="AK57" s="291"/>
      <c r="AL57" s="291"/>
      <c r="AM57" s="291">
        <v>40920</v>
      </c>
      <c r="AN57" s="291">
        <v>104</v>
      </c>
      <c r="AO57" s="292">
        <v>331444</v>
      </c>
      <c r="AP57" s="291"/>
      <c r="AQ57" s="291"/>
      <c r="AR57" s="291" t="s">
        <v>243</v>
      </c>
      <c r="AS57" s="291">
        <v>180996.80000000002</v>
      </c>
      <c r="AT57" s="291">
        <v>90498.400000000009</v>
      </c>
      <c r="AU57" s="291">
        <v>45249.200000000004</v>
      </c>
      <c r="AV57" s="299">
        <v>180996.8</v>
      </c>
      <c r="AW57" s="300" t="s">
        <v>772</v>
      </c>
      <c r="AX57" s="305">
        <v>38097.943999999996</v>
      </c>
      <c r="AY57" s="306" t="s">
        <v>772</v>
      </c>
      <c r="AZ57" s="321">
        <v>54773.686000000016</v>
      </c>
      <c r="BA57" s="306" t="s">
        <v>772</v>
      </c>
      <c r="BB57" s="315">
        <v>46060.46</v>
      </c>
      <c r="BC57" s="316" t="s">
        <v>772</v>
      </c>
      <c r="BD57" s="315">
        <v>11515.109999999986</v>
      </c>
      <c r="BE57" s="326"/>
      <c r="BF57" s="307"/>
      <c r="BG57" s="309"/>
      <c r="BH57" s="307"/>
      <c r="BI57" s="309"/>
      <c r="BJ57" s="307"/>
      <c r="BK57" s="309"/>
      <c r="BL57" s="307"/>
      <c r="BM57" s="309"/>
      <c r="BN57" s="307"/>
      <c r="BO57" s="309"/>
      <c r="BP57" s="307"/>
      <c r="BQ57" s="309"/>
      <c r="BR57" s="307"/>
      <c r="BS57" s="309"/>
      <c r="BT57" s="292">
        <f>IF('Daten 2021'!$AW57="x",'Daten 2021'!$AV57,0)+IF('Daten 2021'!$AY57="x",'Daten 2021'!$AX57,0)+IF('Daten 2021'!$BA57="x",'Daten 2021'!$AZ57,0)+IF('Daten 2021'!$BC57="x",'Daten 2021'!$BB57,0)+IF('Daten 2021'!$BE57="x",'Daten 2021'!$BD57,0)+IF('Daten 2021'!$BG57="x",'Daten 2021'!$BF57,0)+IF('Daten 2021'!$BI57="x",'Daten 2021'!$BH57,0)+IF('Daten 2021'!$BK57="x",'Daten 2021'!$BJ57,0)+IF('Daten 2021'!$BM57="x",'Daten 2021'!$BL57,0)+IF('Daten 2021'!$BO57="x",'Daten 2021'!$BN57,0)+IF('Daten 2021'!$BQ57="x",'Daten 2021'!$BP57,0)+IF('Daten 2021'!$BS57="x",'Daten 2021'!$BR57,0)</f>
        <v>319928.89</v>
      </c>
      <c r="BU57" s="291" t="s">
        <v>244</v>
      </c>
      <c r="BV57" s="291"/>
      <c r="BW57" s="291"/>
      <c r="BX57" s="291"/>
      <c r="BY57" s="291"/>
      <c r="BZ57" s="291"/>
    </row>
    <row r="58" spans="1:78" x14ac:dyDescent="0.3">
      <c r="A58" s="289" t="s">
        <v>63</v>
      </c>
      <c r="B58" s="291" t="s">
        <v>125</v>
      </c>
      <c r="C58" s="289" t="s">
        <v>191</v>
      </c>
      <c r="D58" s="289" t="s">
        <v>305</v>
      </c>
      <c r="E58" s="289" t="s">
        <v>480</v>
      </c>
      <c r="F58" s="289" t="s">
        <v>387</v>
      </c>
      <c r="G58" s="289"/>
      <c r="H58" s="289"/>
      <c r="I58" s="289"/>
      <c r="J58" s="289">
        <v>50</v>
      </c>
      <c r="K58" s="289">
        <v>6187</v>
      </c>
      <c r="L58" s="289">
        <v>90949.67</v>
      </c>
      <c r="M58" s="289">
        <v>0</v>
      </c>
      <c r="N58" s="289">
        <v>0</v>
      </c>
      <c r="O58" s="289">
        <v>0</v>
      </c>
      <c r="P58" s="289">
        <v>5</v>
      </c>
      <c r="Q58" s="289">
        <v>31</v>
      </c>
      <c r="R58" s="289">
        <v>5000</v>
      </c>
      <c r="S58" s="289">
        <v>0</v>
      </c>
      <c r="T58" s="289">
        <v>0</v>
      </c>
      <c r="U58" s="289">
        <v>0</v>
      </c>
      <c r="V58" s="289">
        <v>15</v>
      </c>
      <c r="W58" s="289">
        <v>6000</v>
      </c>
      <c r="X58" s="289">
        <v>0</v>
      </c>
      <c r="Y58" s="289">
        <v>0</v>
      </c>
      <c r="Z58" s="289">
        <v>0</v>
      </c>
      <c r="AA58" s="289">
        <v>0</v>
      </c>
      <c r="AB58" s="289">
        <v>0</v>
      </c>
      <c r="AC58" s="289">
        <v>0</v>
      </c>
      <c r="AD58" s="289">
        <v>0</v>
      </c>
      <c r="AE58" s="289">
        <v>0</v>
      </c>
      <c r="AF58" s="289">
        <v>0</v>
      </c>
      <c r="AG58" s="289">
        <v>0</v>
      </c>
      <c r="AH58" s="289"/>
      <c r="AI58" s="289"/>
      <c r="AJ58" s="289"/>
      <c r="AK58" s="289"/>
      <c r="AL58" s="289"/>
      <c r="AM58" s="289">
        <v>22000</v>
      </c>
      <c r="AN58" s="289">
        <v>55</v>
      </c>
      <c r="AO58" s="290">
        <v>123949.67</v>
      </c>
      <c r="AP58" s="289"/>
      <c r="AQ58" s="289"/>
      <c r="AR58" s="289" t="s">
        <v>243</v>
      </c>
      <c r="AS58" s="289">
        <v>141508.80000000002</v>
      </c>
      <c r="AT58" s="289">
        <v>70754.400000000009</v>
      </c>
      <c r="AU58" s="289">
        <v>35377.200000000004</v>
      </c>
      <c r="AV58" s="299">
        <v>141508.79999999999</v>
      </c>
      <c r="AW58" s="300" t="s">
        <v>772</v>
      </c>
      <c r="AX58" s="305">
        <v>-17559.13</v>
      </c>
      <c r="AY58" s="306" t="s">
        <v>772</v>
      </c>
      <c r="AZ58" s="307"/>
      <c r="BA58" s="303"/>
      <c r="BB58" s="307"/>
      <c r="BC58" s="308"/>
      <c r="BD58" s="307"/>
      <c r="BE58" s="304"/>
      <c r="BF58" s="307"/>
      <c r="BG58" s="309"/>
      <c r="BH58" s="307"/>
      <c r="BI58" s="309"/>
      <c r="BJ58" s="307"/>
      <c r="BK58" s="309"/>
      <c r="BL58" s="307"/>
      <c r="BM58" s="309"/>
      <c r="BN58" s="307"/>
      <c r="BO58" s="309"/>
      <c r="BP58" s="307"/>
      <c r="BQ58" s="309"/>
      <c r="BR58" s="307"/>
      <c r="BS58" s="309"/>
      <c r="BT58" s="290">
        <f>IF('Daten 2021'!$AW58="x",'Daten 2021'!$AV58,0)+IF('Daten 2021'!$AY58="x",'Daten 2021'!$AX58,0)+IF('Daten 2021'!$BA58="x",'Daten 2021'!$AZ58,0)+IF('Daten 2021'!$BC58="x",'Daten 2021'!$BB58,0)+IF('Daten 2021'!$BE58="x",'Daten 2021'!$BD58,0)+IF('Daten 2021'!$BG58="x",'Daten 2021'!$BF58,0)+IF('Daten 2021'!$BI58="x",'Daten 2021'!$BH58,0)+IF('Daten 2021'!$BK58="x",'Daten 2021'!$BJ58,0)+IF('Daten 2021'!$BM58="x",'Daten 2021'!$BL58,0)+IF('Daten 2021'!$BO58="x",'Daten 2021'!$BN58,0)+IF('Daten 2021'!$BQ58="x",'Daten 2021'!$BP58,0)+IF('Daten 2021'!$BS58="x",'Daten 2021'!$BR58,0)</f>
        <v>123949.66999999998</v>
      </c>
      <c r="BU58" s="289" t="s">
        <v>244</v>
      </c>
      <c r="BV58" s="289"/>
      <c r="BW58" s="289"/>
      <c r="BX58" s="289"/>
      <c r="BY58" s="289"/>
      <c r="BZ58" s="289"/>
    </row>
    <row r="59" spans="1:78" x14ac:dyDescent="0.3">
      <c r="A59" s="291" t="s">
        <v>64</v>
      </c>
      <c r="B59" s="291" t="s">
        <v>209</v>
      </c>
      <c r="C59" s="291" t="s">
        <v>192</v>
      </c>
      <c r="D59" s="291" t="s">
        <v>306</v>
      </c>
      <c r="E59" s="291" t="s">
        <v>481</v>
      </c>
      <c r="F59" s="291" t="s">
        <v>388</v>
      </c>
      <c r="G59" s="291"/>
      <c r="H59" s="291"/>
      <c r="I59" s="291"/>
      <c r="J59" s="291">
        <v>0</v>
      </c>
      <c r="K59" s="291">
        <v>0</v>
      </c>
      <c r="L59" s="291">
        <v>0</v>
      </c>
      <c r="M59" s="291">
        <v>0</v>
      </c>
      <c r="N59" s="291">
        <v>0</v>
      </c>
      <c r="O59" s="291">
        <v>0</v>
      </c>
      <c r="P59" s="291">
        <v>5</v>
      </c>
      <c r="Q59" s="291">
        <v>25</v>
      </c>
      <c r="R59" s="291">
        <v>4300</v>
      </c>
      <c r="S59" s="291">
        <v>6</v>
      </c>
      <c r="T59" s="291">
        <v>30</v>
      </c>
      <c r="U59" s="291">
        <v>5160</v>
      </c>
      <c r="V59" s="291">
        <v>0</v>
      </c>
      <c r="W59" s="291">
        <v>0</v>
      </c>
      <c r="X59" s="291">
        <v>0</v>
      </c>
      <c r="Y59" s="291">
        <v>0</v>
      </c>
      <c r="Z59" s="291">
        <v>0</v>
      </c>
      <c r="AA59" s="291">
        <v>0</v>
      </c>
      <c r="AB59" s="291">
        <v>0</v>
      </c>
      <c r="AC59" s="291">
        <v>0</v>
      </c>
      <c r="AD59" s="291">
        <v>0</v>
      </c>
      <c r="AE59" s="291">
        <v>0</v>
      </c>
      <c r="AF59" s="291">
        <v>0</v>
      </c>
      <c r="AG59" s="291">
        <v>0</v>
      </c>
      <c r="AH59" s="291"/>
      <c r="AI59" s="291"/>
      <c r="AJ59" s="291"/>
      <c r="AK59" s="291"/>
      <c r="AL59" s="291"/>
      <c r="AM59" s="291">
        <v>4400</v>
      </c>
      <c r="AN59" s="291">
        <v>11</v>
      </c>
      <c r="AO59" s="292">
        <v>13860</v>
      </c>
      <c r="AP59" s="291"/>
      <c r="AQ59" s="291"/>
      <c r="AR59" s="291" t="s">
        <v>243</v>
      </c>
      <c r="AS59" s="291">
        <v>11088</v>
      </c>
      <c r="AT59" s="291">
        <v>5544</v>
      </c>
      <c r="AU59" s="291">
        <v>2772</v>
      </c>
      <c r="AV59" s="299">
        <v>11088</v>
      </c>
      <c r="AW59" s="300" t="s">
        <v>772</v>
      </c>
      <c r="AX59" s="299">
        <v>2772</v>
      </c>
      <c r="AY59" s="301"/>
      <c r="AZ59" s="307"/>
      <c r="BA59" s="303"/>
      <c r="BB59" s="307"/>
      <c r="BC59" s="308"/>
      <c r="BD59" s="307"/>
      <c r="BE59" s="304"/>
      <c r="BF59" s="307"/>
      <c r="BG59" s="309"/>
      <c r="BH59" s="307"/>
      <c r="BI59" s="309"/>
      <c r="BJ59" s="307"/>
      <c r="BK59" s="309"/>
      <c r="BL59" s="307"/>
      <c r="BM59" s="309"/>
      <c r="BN59" s="307"/>
      <c r="BO59" s="309"/>
      <c r="BP59" s="307"/>
      <c r="BQ59" s="309"/>
      <c r="BR59" s="307"/>
      <c r="BS59" s="309"/>
      <c r="BT59" s="292">
        <f>IF('Daten 2021'!$AW59="x",'Daten 2021'!$AV59,0)+IF('Daten 2021'!$AY59="x",'Daten 2021'!$AX59,0)+IF('Daten 2021'!$BA59="x",'Daten 2021'!$AZ59,0)+IF('Daten 2021'!$BC59="x",'Daten 2021'!$BB59,0)+IF('Daten 2021'!$BE59="x",'Daten 2021'!$BD59,0)+IF('Daten 2021'!$BG59="x",'Daten 2021'!$BF59,0)+IF('Daten 2021'!$BI59="x",'Daten 2021'!$BH59,0)+IF('Daten 2021'!$BK59="x",'Daten 2021'!$BJ59,0)+IF('Daten 2021'!$BM59="x",'Daten 2021'!$BL59,0)+IF('Daten 2021'!$BO59="x",'Daten 2021'!$BN59,0)+IF('Daten 2021'!$BQ59="x",'Daten 2021'!$BP59,0)+IF('Daten 2021'!$BS59="x",'Daten 2021'!$BR59,0)</f>
        <v>11088</v>
      </c>
      <c r="BU59" s="291" t="s">
        <v>244</v>
      </c>
      <c r="BV59" s="291"/>
      <c r="BW59" s="291"/>
      <c r="BX59" s="291"/>
      <c r="BY59" s="291"/>
      <c r="BZ59" s="291"/>
    </row>
    <row r="60" spans="1:78" x14ac:dyDescent="0.3">
      <c r="A60" s="289" t="s">
        <v>65</v>
      </c>
      <c r="B60" s="291" t="s">
        <v>216</v>
      </c>
      <c r="C60" s="289" t="s">
        <v>193</v>
      </c>
      <c r="D60" s="289" t="s">
        <v>307</v>
      </c>
      <c r="E60" s="289" t="s">
        <v>482</v>
      </c>
      <c r="F60" s="289" t="s">
        <v>389</v>
      </c>
      <c r="G60" s="289"/>
      <c r="H60" s="289"/>
      <c r="I60" s="289"/>
      <c r="J60" s="289">
        <v>27</v>
      </c>
      <c r="K60" s="289">
        <v>4089</v>
      </c>
      <c r="L60" s="289">
        <v>60108.67</v>
      </c>
      <c r="M60" s="289">
        <v>1</v>
      </c>
      <c r="N60" s="289">
        <v>243</v>
      </c>
      <c r="O60" s="289">
        <v>4736.67</v>
      </c>
      <c r="P60" s="289">
        <v>0</v>
      </c>
      <c r="Q60" s="289">
        <v>0</v>
      </c>
      <c r="R60" s="289">
        <v>0</v>
      </c>
      <c r="S60" s="289">
        <v>8</v>
      </c>
      <c r="T60" s="289">
        <v>19</v>
      </c>
      <c r="U60" s="289">
        <v>4355</v>
      </c>
      <c r="V60" s="289">
        <v>0</v>
      </c>
      <c r="W60" s="289">
        <v>0</v>
      </c>
      <c r="X60" s="289">
        <v>0</v>
      </c>
      <c r="Y60" s="289">
        <v>0</v>
      </c>
      <c r="Z60" s="289">
        <v>0</v>
      </c>
      <c r="AA60" s="289">
        <v>0</v>
      </c>
      <c r="AB60" s="289">
        <v>0</v>
      </c>
      <c r="AC60" s="289">
        <v>0</v>
      </c>
      <c r="AD60" s="289">
        <v>0</v>
      </c>
      <c r="AE60" s="289">
        <v>0</v>
      </c>
      <c r="AF60" s="289">
        <v>0</v>
      </c>
      <c r="AG60" s="289">
        <v>0</v>
      </c>
      <c r="AH60" s="289"/>
      <c r="AI60" s="289"/>
      <c r="AJ60" s="289"/>
      <c r="AK60" s="289"/>
      <c r="AL60" s="289"/>
      <c r="AM60" s="289">
        <v>14400</v>
      </c>
      <c r="AN60" s="289">
        <v>36</v>
      </c>
      <c r="AO60" s="290">
        <v>83600.34</v>
      </c>
      <c r="AP60" s="289"/>
      <c r="AQ60" s="289"/>
      <c r="AR60" s="289" t="s">
        <v>243</v>
      </c>
      <c r="AS60" s="289">
        <v>93614.400000000009</v>
      </c>
      <c r="AT60" s="289">
        <v>46807.200000000004</v>
      </c>
      <c r="AU60" s="289">
        <v>23403.600000000002</v>
      </c>
      <c r="AV60" s="299">
        <v>93614.399999999994</v>
      </c>
      <c r="AW60" s="300" t="s">
        <v>772</v>
      </c>
      <c r="AX60" s="312">
        <v>-10014.059999999998</v>
      </c>
      <c r="AY60" s="313" t="s">
        <v>772</v>
      </c>
      <c r="AZ60" s="307"/>
      <c r="BA60" s="303"/>
      <c r="BB60" s="307"/>
      <c r="BC60" s="308"/>
      <c r="BD60" s="307"/>
      <c r="BE60" s="304"/>
      <c r="BF60" s="307"/>
      <c r="BG60" s="309"/>
      <c r="BH60" s="307"/>
      <c r="BI60" s="309"/>
      <c r="BJ60" s="307"/>
      <c r="BK60" s="309"/>
      <c r="BL60" s="307"/>
      <c r="BM60" s="309"/>
      <c r="BN60" s="307"/>
      <c r="BO60" s="309"/>
      <c r="BP60" s="307"/>
      <c r="BQ60" s="309"/>
      <c r="BR60" s="307"/>
      <c r="BS60" s="309"/>
      <c r="BT60" s="290">
        <f>IF('Daten 2021'!$AW60="x",'Daten 2021'!$AV60,0)+IF('Daten 2021'!$AY60="x",'Daten 2021'!$AX60,0)+IF('Daten 2021'!$BA60="x",'Daten 2021'!$AZ60,0)+IF('Daten 2021'!$BC60="x",'Daten 2021'!$BB60,0)+IF('Daten 2021'!$BE60="x",'Daten 2021'!$BD60,0)+IF('Daten 2021'!$BG60="x",'Daten 2021'!$BF60,0)+IF('Daten 2021'!$BI60="x",'Daten 2021'!$BH60,0)+IF('Daten 2021'!$BK60="x",'Daten 2021'!$BJ60,0)+IF('Daten 2021'!$BM60="x",'Daten 2021'!$BL60,0)+IF('Daten 2021'!$BO60="x",'Daten 2021'!$BN60,0)+IF('Daten 2021'!$BQ60="x",'Daten 2021'!$BP60,0)+IF('Daten 2021'!$BS60="x",'Daten 2021'!$BR60,0)</f>
        <v>83600.34</v>
      </c>
      <c r="BU60" s="289" t="s">
        <v>244</v>
      </c>
      <c r="BV60" s="289"/>
      <c r="BW60" s="289"/>
      <c r="BX60" s="289"/>
      <c r="BY60" s="289"/>
      <c r="BZ60" s="289"/>
    </row>
    <row r="61" spans="1:78" x14ac:dyDescent="0.3">
      <c r="A61" s="291" t="s">
        <v>66</v>
      </c>
      <c r="B61" s="291" t="s">
        <v>210</v>
      </c>
      <c r="C61" s="291" t="s">
        <v>194</v>
      </c>
      <c r="D61" s="291" t="s">
        <v>308</v>
      </c>
      <c r="E61" s="291" t="s">
        <v>483</v>
      </c>
      <c r="F61" s="291" t="s">
        <v>390</v>
      </c>
      <c r="G61" s="291"/>
      <c r="H61" s="291"/>
      <c r="I61" s="291"/>
      <c r="J61" s="291">
        <v>0</v>
      </c>
      <c r="K61" s="291">
        <v>0</v>
      </c>
      <c r="L61" s="291">
        <v>0</v>
      </c>
      <c r="M61" s="291">
        <v>0</v>
      </c>
      <c r="N61" s="291">
        <v>0</v>
      </c>
      <c r="O61" s="291">
        <v>0</v>
      </c>
      <c r="P61" s="291">
        <v>3</v>
      </c>
      <c r="Q61" s="291">
        <v>15</v>
      </c>
      <c r="R61" s="291">
        <v>2580</v>
      </c>
      <c r="S61" s="291">
        <v>3</v>
      </c>
      <c r="T61" s="291">
        <v>15</v>
      </c>
      <c r="U61" s="291">
        <v>2580</v>
      </c>
      <c r="V61" s="291">
        <v>15</v>
      </c>
      <c r="W61" s="291">
        <v>6000</v>
      </c>
      <c r="X61" s="291">
        <v>0</v>
      </c>
      <c r="Y61" s="291">
        <v>0</v>
      </c>
      <c r="Z61" s="291">
        <v>0</v>
      </c>
      <c r="AA61" s="291">
        <v>0</v>
      </c>
      <c r="AB61" s="291">
        <v>0</v>
      </c>
      <c r="AC61" s="291">
        <v>0</v>
      </c>
      <c r="AD61" s="291">
        <v>0</v>
      </c>
      <c r="AE61" s="291">
        <v>0</v>
      </c>
      <c r="AF61" s="291">
        <v>0</v>
      </c>
      <c r="AG61" s="291">
        <v>0</v>
      </c>
      <c r="AH61" s="291"/>
      <c r="AI61" s="291"/>
      <c r="AJ61" s="291"/>
      <c r="AK61" s="291"/>
      <c r="AL61" s="291"/>
      <c r="AM61" s="291">
        <v>2400</v>
      </c>
      <c r="AN61" s="291">
        <v>6</v>
      </c>
      <c r="AO61" s="292">
        <v>13560</v>
      </c>
      <c r="AP61" s="291"/>
      <c r="AQ61" s="291"/>
      <c r="AR61" s="291" t="s">
        <v>243</v>
      </c>
      <c r="AS61" s="291">
        <v>10848</v>
      </c>
      <c r="AT61" s="291">
        <v>5424</v>
      </c>
      <c r="AU61" s="291">
        <v>2712</v>
      </c>
      <c r="AV61" s="299">
        <v>10848</v>
      </c>
      <c r="AW61" s="300" t="s">
        <v>772</v>
      </c>
      <c r="AX61" s="299">
        <v>2712</v>
      </c>
      <c r="AY61" s="301"/>
      <c r="AZ61" s="307"/>
      <c r="BA61" s="303"/>
      <c r="BB61" s="307"/>
      <c r="BC61" s="308"/>
      <c r="BD61" s="307"/>
      <c r="BE61" s="304"/>
      <c r="BF61" s="307"/>
      <c r="BG61" s="309"/>
      <c r="BH61" s="307"/>
      <c r="BI61" s="309"/>
      <c r="BJ61" s="307"/>
      <c r="BK61" s="309"/>
      <c r="BL61" s="307"/>
      <c r="BM61" s="309"/>
      <c r="BN61" s="307"/>
      <c r="BO61" s="309"/>
      <c r="BP61" s="307"/>
      <c r="BQ61" s="309"/>
      <c r="BR61" s="307"/>
      <c r="BS61" s="309"/>
      <c r="BT61" s="292">
        <f>IF('Daten 2021'!$AW61="x",'Daten 2021'!$AV61,0)+IF('Daten 2021'!$AY61="x",'Daten 2021'!$AX61,0)+IF('Daten 2021'!$BA61="x",'Daten 2021'!$AZ61,0)+IF('Daten 2021'!$BC61="x",'Daten 2021'!$BB61,0)+IF('Daten 2021'!$BE61="x",'Daten 2021'!$BD61,0)+IF('Daten 2021'!$BG61="x",'Daten 2021'!$BF61,0)+IF('Daten 2021'!$BI61="x",'Daten 2021'!$BH61,0)+IF('Daten 2021'!$BK61="x",'Daten 2021'!$BJ61,0)+IF('Daten 2021'!$BM61="x",'Daten 2021'!$BL61,0)+IF('Daten 2021'!$BO61="x",'Daten 2021'!$BN61,0)+IF('Daten 2021'!$BQ61="x",'Daten 2021'!$BP61,0)+IF('Daten 2021'!$BS61="x",'Daten 2021'!$BR61,0)</f>
        <v>10848</v>
      </c>
      <c r="BU61" s="291" t="s">
        <v>244</v>
      </c>
      <c r="BV61" s="291"/>
      <c r="BW61" s="291"/>
      <c r="BX61" s="291"/>
      <c r="BY61" s="291"/>
      <c r="BZ61" s="291"/>
    </row>
    <row r="62" spans="1:78" x14ac:dyDescent="0.3">
      <c r="A62" s="289" t="s">
        <v>751</v>
      </c>
      <c r="B62" s="291" t="s">
        <v>210</v>
      </c>
      <c r="C62" s="289" t="s">
        <v>194</v>
      </c>
      <c r="D62" s="289" t="s">
        <v>309</v>
      </c>
      <c r="E62" s="289" t="s">
        <v>484</v>
      </c>
      <c r="F62" s="289" t="s">
        <v>390</v>
      </c>
      <c r="G62" s="289"/>
      <c r="H62" s="289"/>
      <c r="I62" s="289"/>
      <c r="J62" s="289">
        <v>157</v>
      </c>
      <c r="K62" s="289">
        <v>26225</v>
      </c>
      <c r="L62" s="289">
        <v>385501.69</v>
      </c>
      <c r="M62" s="289">
        <v>49</v>
      </c>
      <c r="N62" s="289">
        <v>8730</v>
      </c>
      <c r="O62" s="289">
        <v>170230</v>
      </c>
      <c r="P62" s="289">
        <v>0</v>
      </c>
      <c r="Q62" s="289">
        <v>0</v>
      </c>
      <c r="R62" s="289">
        <v>0</v>
      </c>
      <c r="S62" s="289">
        <v>0</v>
      </c>
      <c r="T62" s="289">
        <v>0</v>
      </c>
      <c r="U62" s="289">
        <v>0</v>
      </c>
      <c r="V62" s="289">
        <v>0</v>
      </c>
      <c r="W62" s="289">
        <v>0</v>
      </c>
      <c r="X62" s="289">
        <v>0</v>
      </c>
      <c r="Y62" s="289">
        <v>0</v>
      </c>
      <c r="Z62" s="289">
        <v>0</v>
      </c>
      <c r="AA62" s="289">
        <v>0</v>
      </c>
      <c r="AB62" s="289">
        <v>0</v>
      </c>
      <c r="AC62" s="289">
        <v>0</v>
      </c>
      <c r="AD62" s="289">
        <v>0</v>
      </c>
      <c r="AE62" s="289">
        <v>0</v>
      </c>
      <c r="AF62" s="289">
        <v>0</v>
      </c>
      <c r="AG62" s="289">
        <v>0</v>
      </c>
      <c r="AH62" s="289"/>
      <c r="AI62" s="289"/>
      <c r="AJ62" s="289"/>
      <c r="AK62" s="289"/>
      <c r="AL62" s="289"/>
      <c r="AM62" s="289">
        <v>64380</v>
      </c>
      <c r="AN62" s="289">
        <v>206</v>
      </c>
      <c r="AO62" s="290">
        <v>620111.68999999994</v>
      </c>
      <c r="AP62" s="289"/>
      <c r="AQ62" s="289"/>
      <c r="AR62" s="289" t="s">
        <v>253</v>
      </c>
      <c r="AS62" s="289">
        <v>431326.4</v>
      </c>
      <c r="AT62" s="289">
        <v>215663.2</v>
      </c>
      <c r="AU62" s="289">
        <v>107831.6</v>
      </c>
      <c r="AV62" s="299">
        <v>215663.2</v>
      </c>
      <c r="AW62" s="300" t="s">
        <v>772</v>
      </c>
      <c r="AX62" s="305">
        <v>34262</v>
      </c>
      <c r="AY62" s="306" t="s">
        <v>772</v>
      </c>
      <c r="AZ62" s="321">
        <v>249925.2</v>
      </c>
      <c r="BA62" s="306" t="s">
        <v>772</v>
      </c>
      <c r="BB62" s="318">
        <v>120261.28999999992</v>
      </c>
      <c r="BC62" s="331"/>
      <c r="BD62" s="307"/>
      <c r="BE62" s="304"/>
      <c r="BF62" s="307"/>
      <c r="BG62" s="309"/>
      <c r="BH62" s="307"/>
      <c r="BI62" s="309"/>
      <c r="BJ62" s="307"/>
      <c r="BK62" s="309"/>
      <c r="BL62" s="307"/>
      <c r="BM62" s="309"/>
      <c r="BN62" s="307"/>
      <c r="BO62" s="309"/>
      <c r="BP62" s="307"/>
      <c r="BQ62" s="309"/>
      <c r="BR62" s="307"/>
      <c r="BS62" s="309"/>
      <c r="BT62" s="290">
        <f>IF('Daten 2021'!$AW62="x",'Daten 2021'!$AV62,0)+IF('Daten 2021'!$AY62="x",'Daten 2021'!$AX62,0)+IF('Daten 2021'!$BA62="x",'Daten 2021'!$AZ62,0)+IF('Daten 2021'!$BC62="x",'Daten 2021'!$BB62,0)+IF('Daten 2021'!$BE62="x",'Daten 2021'!$BD62,0)+IF('Daten 2021'!$BG62="x",'Daten 2021'!$BF62,0)+IF('Daten 2021'!$BI62="x",'Daten 2021'!$BH62,0)+IF('Daten 2021'!$BK62="x",'Daten 2021'!$BJ62,0)+IF('Daten 2021'!$BM62="x",'Daten 2021'!$BL62,0)+IF('Daten 2021'!$BO62="x",'Daten 2021'!$BN62,0)+IF('Daten 2021'!$BQ62="x",'Daten 2021'!$BP62,0)+IF('Daten 2021'!$BS62="x",'Daten 2021'!$BR62,0)</f>
        <v>499850.4</v>
      </c>
      <c r="BU62" s="289" t="s">
        <v>244</v>
      </c>
      <c r="BV62" s="289"/>
      <c r="BW62" s="289"/>
      <c r="BX62" s="289"/>
      <c r="BY62" s="289"/>
      <c r="BZ62" s="289"/>
    </row>
    <row r="63" spans="1:78" x14ac:dyDescent="0.3">
      <c r="A63" s="291" t="s">
        <v>67</v>
      </c>
      <c r="B63" s="291" t="s">
        <v>10</v>
      </c>
      <c r="C63" s="291" t="s">
        <v>195</v>
      </c>
      <c r="D63" s="291" t="s">
        <v>310</v>
      </c>
      <c r="E63" s="291" t="s">
        <v>485</v>
      </c>
      <c r="F63" s="291" t="s">
        <v>412</v>
      </c>
      <c r="G63" s="291"/>
      <c r="H63" s="291" t="s">
        <v>411</v>
      </c>
      <c r="I63" s="291"/>
      <c r="J63" s="291">
        <v>61</v>
      </c>
      <c r="K63" s="291">
        <v>7424</v>
      </c>
      <c r="L63" s="291">
        <v>116736</v>
      </c>
      <c r="M63" s="291">
        <v>99</v>
      </c>
      <c r="N63" s="291">
        <v>10424</v>
      </c>
      <c r="O63" s="291">
        <v>214020</v>
      </c>
      <c r="P63" s="291">
        <v>23</v>
      </c>
      <c r="Q63" s="291">
        <v>115</v>
      </c>
      <c r="R63" s="291">
        <v>19780</v>
      </c>
      <c r="S63" s="291">
        <v>46</v>
      </c>
      <c r="T63" s="291">
        <v>230</v>
      </c>
      <c r="U63" s="291">
        <v>39560</v>
      </c>
      <c r="V63" s="291">
        <v>20</v>
      </c>
      <c r="W63" s="291">
        <v>8000</v>
      </c>
      <c r="X63" s="291">
        <v>20</v>
      </c>
      <c r="Y63" s="291">
        <v>8000</v>
      </c>
      <c r="Z63" s="291">
        <v>0</v>
      </c>
      <c r="AA63" s="291">
        <v>0</v>
      </c>
      <c r="AB63" s="291">
        <v>0</v>
      </c>
      <c r="AC63" s="291">
        <v>0</v>
      </c>
      <c r="AD63" s="291">
        <v>0</v>
      </c>
      <c r="AE63" s="291">
        <v>0</v>
      </c>
      <c r="AF63" s="291">
        <v>0</v>
      </c>
      <c r="AG63" s="291">
        <v>0</v>
      </c>
      <c r="AH63" s="291"/>
      <c r="AI63" s="291"/>
      <c r="AJ63" s="291"/>
      <c r="AK63" s="291"/>
      <c r="AL63" s="291"/>
      <c r="AM63" s="291">
        <v>69670</v>
      </c>
      <c r="AN63" s="291">
        <v>229</v>
      </c>
      <c r="AO63" s="292">
        <v>475766</v>
      </c>
      <c r="AP63" s="291"/>
      <c r="AQ63" s="291"/>
      <c r="AR63" s="291" t="s">
        <v>243</v>
      </c>
      <c r="AS63" s="291">
        <v>380612.80000000005</v>
      </c>
      <c r="AT63" s="291">
        <v>190306.40000000002</v>
      </c>
      <c r="AU63" s="291">
        <v>95153.200000000012</v>
      </c>
      <c r="AV63" s="299">
        <v>380612.8</v>
      </c>
      <c r="AW63" s="300" t="s">
        <v>772</v>
      </c>
      <c r="AX63" s="299">
        <v>95153.200000000012</v>
      </c>
      <c r="AY63" s="301"/>
      <c r="AZ63" s="307"/>
      <c r="BA63" s="303"/>
      <c r="BB63" s="307"/>
      <c r="BC63" s="308"/>
      <c r="BD63" s="307"/>
      <c r="BE63" s="304"/>
      <c r="BF63" s="307"/>
      <c r="BG63" s="309"/>
      <c r="BH63" s="307"/>
      <c r="BI63" s="309"/>
      <c r="BJ63" s="307"/>
      <c r="BK63" s="309"/>
      <c r="BL63" s="307"/>
      <c r="BM63" s="309"/>
      <c r="BN63" s="307"/>
      <c r="BO63" s="309"/>
      <c r="BP63" s="307"/>
      <c r="BQ63" s="309"/>
      <c r="BR63" s="307"/>
      <c r="BS63" s="309"/>
      <c r="BT63" s="292">
        <f>IF('Daten 2021'!$AW63="x",'Daten 2021'!$AV63,0)+IF('Daten 2021'!$AY63="x",'Daten 2021'!$AX63,0)+IF('Daten 2021'!$BA63="x",'Daten 2021'!$AZ63,0)+IF('Daten 2021'!$BC63="x",'Daten 2021'!$BB63,0)+IF('Daten 2021'!$BE63="x",'Daten 2021'!$BD63,0)+IF('Daten 2021'!$BG63="x",'Daten 2021'!$BF63,0)+IF('Daten 2021'!$BI63="x",'Daten 2021'!$BH63,0)+IF('Daten 2021'!$BK63="x",'Daten 2021'!$BJ63,0)+IF('Daten 2021'!$BM63="x",'Daten 2021'!$BL63,0)+IF('Daten 2021'!$BO63="x",'Daten 2021'!$BN63,0)+IF('Daten 2021'!$BQ63="x",'Daten 2021'!$BP63,0)+IF('Daten 2021'!$BS63="x",'Daten 2021'!$BR63,0)</f>
        <v>380612.8</v>
      </c>
      <c r="BU63" s="291" t="s">
        <v>244</v>
      </c>
      <c r="BV63" s="291"/>
      <c r="BW63" s="291"/>
      <c r="BX63" s="291"/>
      <c r="BY63" s="291"/>
      <c r="BZ63" s="291"/>
    </row>
    <row r="64" spans="1:78" x14ac:dyDescent="0.3">
      <c r="A64" s="289" t="s">
        <v>68</v>
      </c>
      <c r="B64" s="291" t="s">
        <v>311</v>
      </c>
      <c r="C64" s="289" t="s">
        <v>196</v>
      </c>
      <c r="D64" s="289" t="s">
        <v>312</v>
      </c>
      <c r="E64" s="289" t="s">
        <v>486</v>
      </c>
      <c r="F64" s="289" t="s">
        <v>391</v>
      </c>
      <c r="G64" s="289"/>
      <c r="H64" s="289"/>
      <c r="I64" s="289"/>
      <c r="J64" s="289">
        <v>166</v>
      </c>
      <c r="K64" s="289">
        <v>22520</v>
      </c>
      <c r="L64" s="289">
        <v>331037.03000000003</v>
      </c>
      <c r="M64" s="289">
        <v>110</v>
      </c>
      <c r="N64" s="289">
        <v>11315</v>
      </c>
      <c r="O64" s="289">
        <v>220645.36</v>
      </c>
      <c r="P64" s="289">
        <v>7</v>
      </c>
      <c r="Q64" s="289">
        <v>28</v>
      </c>
      <c r="R64" s="289">
        <v>5160</v>
      </c>
      <c r="S64" s="289">
        <v>7</v>
      </c>
      <c r="T64" s="289">
        <v>28</v>
      </c>
      <c r="U64" s="289">
        <v>5160</v>
      </c>
      <c r="V64" s="289">
        <v>0</v>
      </c>
      <c r="W64" s="289">
        <v>0</v>
      </c>
      <c r="X64" s="289">
        <v>0</v>
      </c>
      <c r="Y64" s="289">
        <v>0</v>
      </c>
      <c r="Z64" s="289">
        <v>0</v>
      </c>
      <c r="AA64" s="289">
        <v>0</v>
      </c>
      <c r="AB64" s="289">
        <v>0</v>
      </c>
      <c r="AC64" s="289">
        <v>0</v>
      </c>
      <c r="AD64" s="289">
        <v>0</v>
      </c>
      <c r="AE64" s="289">
        <v>0</v>
      </c>
      <c r="AF64" s="289">
        <v>0</v>
      </c>
      <c r="AG64" s="289">
        <v>0</v>
      </c>
      <c r="AH64" s="289"/>
      <c r="AI64" s="289"/>
      <c r="AJ64" s="289"/>
      <c r="AK64" s="289"/>
      <c r="AL64" s="289"/>
      <c r="AM64" s="289">
        <v>83700</v>
      </c>
      <c r="AN64" s="289">
        <v>290</v>
      </c>
      <c r="AO64" s="290">
        <v>645702.39</v>
      </c>
      <c r="AP64" s="289"/>
      <c r="AQ64" s="289"/>
      <c r="AR64" s="289" t="s">
        <v>253</v>
      </c>
      <c r="AS64" s="289">
        <v>502542.4</v>
      </c>
      <c r="AT64" s="289">
        <v>251271.2</v>
      </c>
      <c r="AU64" s="289">
        <v>125635.6</v>
      </c>
      <c r="AV64" s="299">
        <v>251271.2</v>
      </c>
      <c r="AW64" s="300" t="s">
        <v>772</v>
      </c>
      <c r="AX64" s="305">
        <v>20062.800000000003</v>
      </c>
      <c r="AY64" s="306" t="s">
        <v>772</v>
      </c>
      <c r="AZ64" s="321">
        <v>271334</v>
      </c>
      <c r="BA64" s="306" t="s">
        <v>772</v>
      </c>
      <c r="BB64" s="318">
        <v>103034.39000000001</v>
      </c>
      <c r="BC64" s="331"/>
      <c r="BD64" s="307"/>
      <c r="BE64" s="304"/>
      <c r="BF64" s="307"/>
      <c r="BG64" s="309"/>
      <c r="BH64" s="307"/>
      <c r="BI64" s="309"/>
      <c r="BJ64" s="307"/>
      <c r="BK64" s="309"/>
      <c r="BL64" s="307"/>
      <c r="BM64" s="309"/>
      <c r="BN64" s="307"/>
      <c r="BO64" s="309"/>
      <c r="BP64" s="307"/>
      <c r="BQ64" s="309"/>
      <c r="BR64" s="307"/>
      <c r="BS64" s="309"/>
      <c r="BT64" s="290">
        <f>IF('Daten 2021'!$AW64="x",'Daten 2021'!$AV64,0)+IF('Daten 2021'!$AY64="x",'Daten 2021'!$AX64,0)+IF('Daten 2021'!$BA64="x",'Daten 2021'!$AZ64,0)+IF('Daten 2021'!$BC64="x",'Daten 2021'!$BB64,0)+IF('Daten 2021'!$BE64="x",'Daten 2021'!$BD64,0)+IF('Daten 2021'!$BG64="x",'Daten 2021'!$BF64,0)+IF('Daten 2021'!$BI64="x",'Daten 2021'!$BH64,0)+IF('Daten 2021'!$BK64="x",'Daten 2021'!$BJ64,0)+IF('Daten 2021'!$BM64="x",'Daten 2021'!$BL64,0)+IF('Daten 2021'!$BO64="x",'Daten 2021'!$BN64,0)+IF('Daten 2021'!$BQ64="x",'Daten 2021'!$BP64,0)+IF('Daten 2021'!$BS64="x",'Daten 2021'!$BR64,0)</f>
        <v>542668</v>
      </c>
      <c r="BU64" s="289" t="s">
        <v>244</v>
      </c>
      <c r="BV64" s="289"/>
      <c r="BW64" s="289"/>
      <c r="BX64" s="289"/>
      <c r="BY64" s="289"/>
      <c r="BZ64" s="289"/>
    </row>
    <row r="65" spans="1:78" x14ac:dyDescent="0.3">
      <c r="A65" s="291" t="s">
        <v>69</v>
      </c>
      <c r="B65" s="291" t="s">
        <v>106</v>
      </c>
      <c r="C65" s="291" t="s">
        <v>197</v>
      </c>
      <c r="D65" s="291" t="s">
        <v>313</v>
      </c>
      <c r="E65" s="291" t="s">
        <v>487</v>
      </c>
      <c r="F65" s="291" t="s">
        <v>392</v>
      </c>
      <c r="G65" s="291"/>
      <c r="H65" s="291"/>
      <c r="I65" s="291"/>
      <c r="J65" s="291">
        <v>93</v>
      </c>
      <c r="K65" s="291">
        <v>10151</v>
      </c>
      <c r="L65" s="291">
        <v>149216.29999999999</v>
      </c>
      <c r="M65" s="291">
        <v>13</v>
      </c>
      <c r="N65" s="291">
        <v>1213</v>
      </c>
      <c r="O65" s="291">
        <v>23658.7</v>
      </c>
      <c r="P65" s="291">
        <v>0</v>
      </c>
      <c r="Q65" s="291">
        <v>0</v>
      </c>
      <c r="R65" s="291">
        <v>0</v>
      </c>
      <c r="S65" s="291">
        <v>0</v>
      </c>
      <c r="T65" s="291">
        <v>0</v>
      </c>
      <c r="U65" s="291">
        <v>0</v>
      </c>
      <c r="V65" s="291">
        <v>20</v>
      </c>
      <c r="W65" s="291">
        <v>8000</v>
      </c>
      <c r="X65" s="291">
        <v>0</v>
      </c>
      <c r="Y65" s="291">
        <v>0</v>
      </c>
      <c r="Z65" s="291">
        <v>0</v>
      </c>
      <c r="AA65" s="291">
        <v>0</v>
      </c>
      <c r="AB65" s="291">
        <v>0</v>
      </c>
      <c r="AC65" s="291">
        <v>0</v>
      </c>
      <c r="AD65" s="291">
        <v>0</v>
      </c>
      <c r="AE65" s="291">
        <v>0</v>
      </c>
      <c r="AF65" s="291">
        <v>0</v>
      </c>
      <c r="AG65" s="291">
        <v>0</v>
      </c>
      <c r="AH65" s="291"/>
      <c r="AI65" s="291"/>
      <c r="AJ65" s="291"/>
      <c r="AK65" s="291"/>
      <c r="AL65" s="291"/>
      <c r="AM65" s="291">
        <v>41380</v>
      </c>
      <c r="AN65" s="291">
        <v>106</v>
      </c>
      <c r="AO65" s="292">
        <v>222255</v>
      </c>
      <c r="AP65" s="291"/>
      <c r="AQ65" s="291"/>
      <c r="AR65" s="291" t="s">
        <v>243</v>
      </c>
      <c r="AS65" s="291">
        <v>148779.20000000001</v>
      </c>
      <c r="AT65" s="291">
        <v>74389.600000000006</v>
      </c>
      <c r="AU65" s="291">
        <v>37194.800000000003</v>
      </c>
      <c r="AV65" s="299">
        <v>148779.20000000001</v>
      </c>
      <c r="AW65" s="300" t="s">
        <v>772</v>
      </c>
      <c r="AX65" s="305">
        <v>29024.800000000003</v>
      </c>
      <c r="AY65" s="306" t="s">
        <v>772</v>
      </c>
      <c r="AZ65" s="305">
        <v>44451</v>
      </c>
      <c r="BA65" s="306"/>
      <c r="BB65" s="307"/>
      <c r="BC65" s="308"/>
      <c r="BD65" s="307"/>
      <c r="BE65" s="304"/>
      <c r="BF65" s="307"/>
      <c r="BG65" s="309"/>
      <c r="BH65" s="307"/>
      <c r="BI65" s="309"/>
      <c r="BJ65" s="307"/>
      <c r="BK65" s="309"/>
      <c r="BL65" s="307"/>
      <c r="BM65" s="309"/>
      <c r="BN65" s="307"/>
      <c r="BO65" s="309"/>
      <c r="BP65" s="307"/>
      <c r="BQ65" s="309"/>
      <c r="BR65" s="307"/>
      <c r="BS65" s="309"/>
      <c r="BT65" s="292">
        <f>IF('Daten 2021'!$AW65="x",'Daten 2021'!$AV65,0)+IF('Daten 2021'!$AY65="x",'Daten 2021'!$AX65,0)+IF('Daten 2021'!$BA65="x",'Daten 2021'!$AZ65,0)+IF('Daten 2021'!$BC65="x",'Daten 2021'!$BB65,0)+IF('Daten 2021'!$BE65="x",'Daten 2021'!$BD65,0)+IF('Daten 2021'!$BG65="x",'Daten 2021'!$BF65,0)+IF('Daten 2021'!$BI65="x",'Daten 2021'!$BH65,0)+IF('Daten 2021'!$BK65="x",'Daten 2021'!$BJ65,0)+IF('Daten 2021'!$BM65="x",'Daten 2021'!$BL65,0)+IF('Daten 2021'!$BO65="x",'Daten 2021'!$BN65,0)+IF('Daten 2021'!$BQ65="x",'Daten 2021'!$BP65,0)+IF('Daten 2021'!$BS65="x",'Daten 2021'!$BR65,0)</f>
        <v>177804</v>
      </c>
      <c r="BU65" s="291" t="s">
        <v>244</v>
      </c>
      <c r="BV65" s="291"/>
      <c r="BW65" s="291"/>
      <c r="BX65" s="291"/>
      <c r="BY65" s="291"/>
      <c r="BZ65" s="291"/>
    </row>
    <row r="66" spans="1:78" x14ac:dyDescent="0.3">
      <c r="A66" s="289" t="s">
        <v>70</v>
      </c>
      <c r="B66" s="291" t="s">
        <v>116</v>
      </c>
      <c r="C66" s="289" t="s">
        <v>198</v>
      </c>
      <c r="D66" s="289" t="s">
        <v>314</v>
      </c>
      <c r="E66" s="289" t="s">
        <v>488</v>
      </c>
      <c r="F66" s="289" t="s">
        <v>393</v>
      </c>
      <c r="G66" s="289"/>
      <c r="H66" s="289"/>
      <c r="I66" s="289"/>
      <c r="J66" s="289">
        <v>7</v>
      </c>
      <c r="K66" s="289">
        <v>856</v>
      </c>
      <c r="L66" s="289">
        <v>13428</v>
      </c>
      <c r="M66" s="289">
        <v>3</v>
      </c>
      <c r="N66" s="289">
        <v>360</v>
      </c>
      <c r="O66" s="289">
        <v>7020</v>
      </c>
      <c r="P66" s="289">
        <v>9</v>
      </c>
      <c r="Q66" s="289">
        <v>45</v>
      </c>
      <c r="R66" s="289">
        <v>7740</v>
      </c>
      <c r="S66" s="289">
        <v>2</v>
      </c>
      <c r="T66" s="289">
        <v>10</v>
      </c>
      <c r="U66" s="289">
        <v>1720</v>
      </c>
      <c r="V66" s="289">
        <v>0</v>
      </c>
      <c r="W66" s="289">
        <v>0</v>
      </c>
      <c r="X66" s="289">
        <v>0</v>
      </c>
      <c r="Y66" s="289">
        <v>0</v>
      </c>
      <c r="Z66" s="289">
        <v>0</v>
      </c>
      <c r="AA66" s="289">
        <v>0</v>
      </c>
      <c r="AB66" s="289">
        <v>0</v>
      </c>
      <c r="AC66" s="289">
        <v>0</v>
      </c>
      <c r="AD66" s="289">
        <v>0</v>
      </c>
      <c r="AE66" s="289">
        <v>0</v>
      </c>
      <c r="AF66" s="289">
        <v>0</v>
      </c>
      <c r="AG66" s="289">
        <v>0</v>
      </c>
      <c r="AH66" s="289"/>
      <c r="AI66" s="289"/>
      <c r="AJ66" s="289"/>
      <c r="AK66" s="289"/>
      <c r="AL66" s="289"/>
      <c r="AM66" s="289">
        <v>8400</v>
      </c>
      <c r="AN66" s="289">
        <v>21</v>
      </c>
      <c r="AO66" s="290">
        <v>38308</v>
      </c>
      <c r="AP66" s="289"/>
      <c r="AQ66" s="289"/>
      <c r="AR66" s="289" t="s">
        <v>243</v>
      </c>
      <c r="AS66" s="289">
        <v>30646.400000000001</v>
      </c>
      <c r="AT66" s="289">
        <v>15323.2</v>
      </c>
      <c r="AU66" s="289">
        <v>7661.6</v>
      </c>
      <c r="AV66" s="299">
        <v>30646.400000000001</v>
      </c>
      <c r="AW66" s="300" t="s">
        <v>772</v>
      </c>
      <c r="AX66" s="299">
        <v>7661.5999999999985</v>
      </c>
      <c r="AY66" s="301"/>
      <c r="AZ66" s="307"/>
      <c r="BA66" s="303"/>
      <c r="BB66" s="307"/>
      <c r="BC66" s="308"/>
      <c r="BD66" s="307"/>
      <c r="BE66" s="304"/>
      <c r="BF66" s="307"/>
      <c r="BG66" s="309"/>
      <c r="BH66" s="307"/>
      <c r="BI66" s="309"/>
      <c r="BJ66" s="307"/>
      <c r="BK66" s="309"/>
      <c r="BL66" s="307"/>
      <c r="BM66" s="309"/>
      <c r="BN66" s="307"/>
      <c r="BO66" s="309"/>
      <c r="BP66" s="307"/>
      <c r="BQ66" s="309"/>
      <c r="BR66" s="307"/>
      <c r="BS66" s="309"/>
      <c r="BT66" s="290">
        <f>IF('Daten 2021'!$AW66="x",'Daten 2021'!$AV66,0)+IF('Daten 2021'!$AY66="x",'Daten 2021'!$AX66,0)+IF('Daten 2021'!$BA66="x",'Daten 2021'!$AZ66,0)+IF('Daten 2021'!$BC66="x",'Daten 2021'!$BB66,0)+IF('Daten 2021'!$BE66="x",'Daten 2021'!$BD66,0)+IF('Daten 2021'!$BG66="x",'Daten 2021'!$BF66,0)+IF('Daten 2021'!$BI66="x",'Daten 2021'!$BH66,0)+IF('Daten 2021'!$BK66="x",'Daten 2021'!$BJ66,0)+IF('Daten 2021'!$BM66="x",'Daten 2021'!$BL66,0)+IF('Daten 2021'!$BO66="x",'Daten 2021'!$BN66,0)+IF('Daten 2021'!$BQ66="x",'Daten 2021'!$BP66,0)+IF('Daten 2021'!$BS66="x",'Daten 2021'!$BR66,0)</f>
        <v>30646.400000000001</v>
      </c>
      <c r="BU66" s="289" t="s">
        <v>244</v>
      </c>
      <c r="BV66" s="289"/>
      <c r="BW66" s="289"/>
      <c r="BX66" s="289"/>
      <c r="BY66" s="289"/>
      <c r="BZ66" s="289"/>
    </row>
    <row r="67" spans="1:78" x14ac:dyDescent="0.3">
      <c r="A67" s="291" t="s">
        <v>71</v>
      </c>
      <c r="B67" s="291" t="s">
        <v>107</v>
      </c>
      <c r="C67" s="291" t="s">
        <v>199</v>
      </c>
      <c r="D67" s="291" t="s">
        <v>315</v>
      </c>
      <c r="E67" s="291" t="s">
        <v>489</v>
      </c>
      <c r="F67" s="291" t="s">
        <v>394</v>
      </c>
      <c r="G67" s="291"/>
      <c r="H67" s="291" t="s">
        <v>395</v>
      </c>
      <c r="I67" s="291"/>
      <c r="J67" s="291">
        <v>26</v>
      </c>
      <c r="K67" s="291">
        <v>3566</v>
      </c>
      <c r="L67" s="291">
        <v>52420</v>
      </c>
      <c r="M67" s="291">
        <v>93</v>
      </c>
      <c r="N67" s="291">
        <v>10842</v>
      </c>
      <c r="O67" s="291">
        <v>211413</v>
      </c>
      <c r="P67" s="291">
        <v>1</v>
      </c>
      <c r="Q67" s="291">
        <v>8</v>
      </c>
      <c r="R67" s="291">
        <v>1260</v>
      </c>
      <c r="S67" s="291">
        <v>1</v>
      </c>
      <c r="T67" s="291">
        <v>8</v>
      </c>
      <c r="U67" s="291">
        <v>1175</v>
      </c>
      <c r="V67" s="291">
        <v>0</v>
      </c>
      <c r="W67" s="291">
        <v>0</v>
      </c>
      <c r="X67" s="291">
        <v>0</v>
      </c>
      <c r="Y67" s="291">
        <v>0</v>
      </c>
      <c r="Z67" s="291">
        <v>0</v>
      </c>
      <c r="AA67" s="291">
        <v>0</v>
      </c>
      <c r="AB67" s="291">
        <v>0</v>
      </c>
      <c r="AC67" s="291">
        <v>0</v>
      </c>
      <c r="AD67" s="291">
        <v>0</v>
      </c>
      <c r="AE67" s="291">
        <v>0</v>
      </c>
      <c r="AF67" s="291">
        <v>0</v>
      </c>
      <c r="AG67" s="291">
        <v>0</v>
      </c>
      <c r="AH67" s="291"/>
      <c r="AI67" s="291"/>
      <c r="AJ67" s="291"/>
      <c r="AK67" s="291"/>
      <c r="AL67" s="291"/>
      <c r="AM67" s="291">
        <v>44830</v>
      </c>
      <c r="AN67" s="291">
        <v>121</v>
      </c>
      <c r="AO67" s="292">
        <v>311098</v>
      </c>
      <c r="AP67" s="291"/>
      <c r="AQ67" s="291"/>
      <c r="AR67" s="291" t="s">
        <v>243</v>
      </c>
      <c r="AS67" s="291">
        <v>216425.60000000001</v>
      </c>
      <c r="AT67" s="291">
        <v>108212.8</v>
      </c>
      <c r="AU67" s="291">
        <v>54106.400000000001</v>
      </c>
      <c r="AV67" s="299">
        <v>216425.60000000001</v>
      </c>
      <c r="AW67" s="300" t="s">
        <v>772</v>
      </c>
      <c r="AX67" s="299">
        <v>54106.400000000001</v>
      </c>
      <c r="AY67" s="301" t="s">
        <v>772</v>
      </c>
      <c r="AZ67" s="305">
        <v>59453.06</v>
      </c>
      <c r="BA67" s="306" t="s">
        <v>772</v>
      </c>
      <c r="BB67" s="315">
        <v>-18887.059999999998</v>
      </c>
      <c r="BC67" s="316" t="s">
        <v>772</v>
      </c>
      <c r="BD67" s="307"/>
      <c r="BE67" s="304"/>
      <c r="BF67" s="307"/>
      <c r="BG67" s="309"/>
      <c r="BH67" s="307"/>
      <c r="BI67" s="309"/>
      <c r="BJ67" s="307"/>
      <c r="BK67" s="309"/>
      <c r="BL67" s="307"/>
      <c r="BM67" s="309"/>
      <c r="BN67" s="307"/>
      <c r="BO67" s="309"/>
      <c r="BP67" s="307"/>
      <c r="BQ67" s="309"/>
      <c r="BR67" s="307"/>
      <c r="BS67" s="309"/>
      <c r="BT67" s="292">
        <f>IF('Daten 2021'!$AW67="x",'Daten 2021'!$AV67,0)+IF('Daten 2021'!$AY67="x",'Daten 2021'!$AX67,0)+IF('Daten 2021'!$BA67="x",'Daten 2021'!$AZ67,0)+IF('Daten 2021'!$BC67="x",'Daten 2021'!$BB67,0)+IF('Daten 2021'!$BE67="x",'Daten 2021'!$BD67,0)+IF('Daten 2021'!$BG67="x",'Daten 2021'!$BF67,0)+IF('Daten 2021'!$BI67="x",'Daten 2021'!$BH67,0)+IF('Daten 2021'!$BK67="x",'Daten 2021'!$BJ67,0)+IF('Daten 2021'!$BM67="x",'Daten 2021'!$BL67,0)+IF('Daten 2021'!$BO67="x",'Daten 2021'!$BN67,0)+IF('Daten 2021'!$BQ67="x",'Daten 2021'!$BP67,0)+IF('Daten 2021'!$BS67="x",'Daten 2021'!$BR67,0)</f>
        <v>311098</v>
      </c>
      <c r="BU67" s="291" t="s">
        <v>244</v>
      </c>
      <c r="BV67" s="291"/>
      <c r="BW67" s="291"/>
      <c r="BX67" s="291"/>
      <c r="BY67" s="291"/>
      <c r="BZ67" s="291"/>
    </row>
    <row r="68" spans="1:78" x14ac:dyDescent="0.3">
      <c r="A68" s="289" t="s">
        <v>72</v>
      </c>
      <c r="B68" s="291" t="s">
        <v>108</v>
      </c>
      <c r="C68" s="289" t="s">
        <v>200</v>
      </c>
      <c r="D68" s="289" t="s">
        <v>316</v>
      </c>
      <c r="E68" s="289" t="s">
        <v>490</v>
      </c>
      <c r="F68" s="289" t="s">
        <v>396</v>
      </c>
      <c r="G68" s="289"/>
      <c r="H68" s="289"/>
      <c r="I68" s="289"/>
      <c r="J68" s="289">
        <v>75</v>
      </c>
      <c r="K68" s="289">
        <v>7889</v>
      </c>
      <c r="L68" s="289">
        <v>115972.68</v>
      </c>
      <c r="M68" s="289">
        <v>137</v>
      </c>
      <c r="N68" s="289">
        <v>13800</v>
      </c>
      <c r="O68" s="289">
        <v>269096.13</v>
      </c>
      <c r="P68" s="289">
        <v>1</v>
      </c>
      <c r="Q68" s="289">
        <v>6</v>
      </c>
      <c r="R68" s="289">
        <v>945</v>
      </c>
      <c r="S68" s="289">
        <v>6</v>
      </c>
      <c r="T68" s="289">
        <v>101</v>
      </c>
      <c r="U68" s="289">
        <v>13671</v>
      </c>
      <c r="V68" s="289">
        <v>0</v>
      </c>
      <c r="W68" s="289">
        <v>0</v>
      </c>
      <c r="X68" s="289">
        <v>0</v>
      </c>
      <c r="Y68" s="289">
        <v>0</v>
      </c>
      <c r="Z68" s="289">
        <v>0</v>
      </c>
      <c r="AA68" s="289">
        <v>0</v>
      </c>
      <c r="AB68" s="289">
        <v>0</v>
      </c>
      <c r="AC68" s="289">
        <v>0</v>
      </c>
      <c r="AD68" s="289">
        <v>0</v>
      </c>
      <c r="AE68" s="289">
        <v>0</v>
      </c>
      <c r="AF68" s="289">
        <v>0</v>
      </c>
      <c r="AG68" s="289">
        <v>0</v>
      </c>
      <c r="AH68" s="289"/>
      <c r="AI68" s="289"/>
      <c r="AJ68" s="289"/>
      <c r="AK68" s="289"/>
      <c r="AL68" s="289"/>
      <c r="AM68" s="289">
        <v>67370</v>
      </c>
      <c r="AN68" s="289">
        <v>219</v>
      </c>
      <c r="AO68" s="290">
        <v>467054.81</v>
      </c>
      <c r="AP68" s="289"/>
      <c r="AQ68" s="289"/>
      <c r="AR68" s="289" t="s">
        <v>243</v>
      </c>
      <c r="AS68" s="289">
        <v>339158.4</v>
      </c>
      <c r="AT68" s="289">
        <v>169579.2</v>
      </c>
      <c r="AU68" s="289">
        <v>84789.6</v>
      </c>
      <c r="AV68" s="299">
        <v>339158.4</v>
      </c>
      <c r="AW68" s="300" t="s">
        <v>772</v>
      </c>
      <c r="AX68" s="312">
        <v>34485.449999999997</v>
      </c>
      <c r="AY68" s="313" t="s">
        <v>772</v>
      </c>
      <c r="AZ68" s="335">
        <v>93410.959999999963</v>
      </c>
      <c r="BA68" s="336"/>
      <c r="BB68" s="307"/>
      <c r="BC68" s="308"/>
      <c r="BD68" s="307"/>
      <c r="BE68" s="304"/>
      <c r="BF68" s="307"/>
      <c r="BG68" s="309"/>
      <c r="BH68" s="307"/>
      <c r="BI68" s="309"/>
      <c r="BJ68" s="307"/>
      <c r="BK68" s="309"/>
      <c r="BL68" s="307"/>
      <c r="BM68" s="309"/>
      <c r="BN68" s="307"/>
      <c r="BO68" s="309"/>
      <c r="BP68" s="307"/>
      <c r="BQ68" s="309"/>
      <c r="BR68" s="307"/>
      <c r="BS68" s="309"/>
      <c r="BT68" s="290">
        <f>IF('Daten 2021'!$AW68="x",'Daten 2021'!$AV68,0)+IF('Daten 2021'!$AY68="x",'Daten 2021'!$AX68,0)+IF('Daten 2021'!$BA68="x",'Daten 2021'!$AZ68,0)+IF('Daten 2021'!$BC68="x",'Daten 2021'!$BB68,0)+IF('Daten 2021'!$BE68="x",'Daten 2021'!$BD68,0)+IF('Daten 2021'!$BG68="x",'Daten 2021'!$BF68,0)+IF('Daten 2021'!$BI68="x",'Daten 2021'!$BH68,0)+IF('Daten 2021'!$BK68="x",'Daten 2021'!$BJ68,0)+IF('Daten 2021'!$BM68="x",'Daten 2021'!$BL68,0)+IF('Daten 2021'!$BO68="x",'Daten 2021'!$BN68,0)+IF('Daten 2021'!$BQ68="x",'Daten 2021'!$BP68,0)+IF('Daten 2021'!$BS68="x",'Daten 2021'!$BR68,0)</f>
        <v>373643.85000000003</v>
      </c>
      <c r="BU68" s="289" t="s">
        <v>244</v>
      </c>
      <c r="BV68" s="289"/>
      <c r="BW68" s="289"/>
      <c r="BX68" s="289"/>
      <c r="BY68" s="289"/>
      <c r="BZ68" s="289"/>
    </row>
    <row r="69" spans="1:78" x14ac:dyDescent="0.3">
      <c r="A69" s="291" t="s">
        <v>73</v>
      </c>
      <c r="B69" s="291" t="s">
        <v>109</v>
      </c>
      <c r="C69" s="291" t="s">
        <v>201</v>
      </c>
      <c r="D69" s="291" t="s">
        <v>317</v>
      </c>
      <c r="E69" s="291" t="s">
        <v>491</v>
      </c>
      <c r="F69" s="291" t="s">
        <v>397</v>
      </c>
      <c r="G69" s="291"/>
      <c r="H69" s="291"/>
      <c r="I69" s="291"/>
      <c r="J69" s="291">
        <v>6</v>
      </c>
      <c r="K69" s="291">
        <v>702</v>
      </c>
      <c r="L69" s="291">
        <v>10320</v>
      </c>
      <c r="M69" s="291">
        <v>6</v>
      </c>
      <c r="N69" s="291">
        <v>714</v>
      </c>
      <c r="O69" s="291">
        <v>13920</v>
      </c>
      <c r="P69" s="291">
        <v>1</v>
      </c>
      <c r="Q69" s="291">
        <v>8</v>
      </c>
      <c r="R69" s="291">
        <v>1200</v>
      </c>
      <c r="S69" s="291">
        <v>1</v>
      </c>
      <c r="T69" s="291">
        <v>8</v>
      </c>
      <c r="U69" s="291">
        <v>1200</v>
      </c>
      <c r="V69" s="291">
        <v>0</v>
      </c>
      <c r="W69" s="291">
        <v>0</v>
      </c>
      <c r="X69" s="291">
        <v>0</v>
      </c>
      <c r="Y69" s="291">
        <v>0</v>
      </c>
      <c r="Z69" s="291">
        <v>0</v>
      </c>
      <c r="AA69" s="291">
        <v>0</v>
      </c>
      <c r="AB69" s="291">
        <v>0</v>
      </c>
      <c r="AC69" s="291">
        <v>0</v>
      </c>
      <c r="AD69" s="291">
        <v>0</v>
      </c>
      <c r="AE69" s="291">
        <v>0</v>
      </c>
      <c r="AF69" s="291">
        <v>0</v>
      </c>
      <c r="AG69" s="291">
        <v>0</v>
      </c>
      <c r="AH69" s="291"/>
      <c r="AI69" s="291"/>
      <c r="AJ69" s="291"/>
      <c r="AK69" s="291"/>
      <c r="AL69" s="291"/>
      <c r="AM69" s="291">
        <v>5600</v>
      </c>
      <c r="AN69" s="291">
        <v>14</v>
      </c>
      <c r="AO69" s="292">
        <v>32240</v>
      </c>
      <c r="AP69" s="291"/>
      <c r="AQ69" s="291"/>
      <c r="AR69" s="291" t="s">
        <v>243</v>
      </c>
      <c r="AS69" s="291">
        <v>28982.400000000001</v>
      </c>
      <c r="AT69" s="291">
        <v>14491.2</v>
      </c>
      <c r="AU69" s="291">
        <v>7245.6</v>
      </c>
      <c r="AV69" s="299">
        <v>28982.400000000001</v>
      </c>
      <c r="AW69" s="300" t="s">
        <v>772</v>
      </c>
      <c r="AX69" s="305">
        <v>3257.5999999999985</v>
      </c>
      <c r="AY69" s="306"/>
      <c r="AZ69" s="307"/>
      <c r="BA69" s="303"/>
      <c r="BB69" s="307"/>
      <c r="BC69" s="308"/>
      <c r="BD69" s="307"/>
      <c r="BE69" s="304"/>
      <c r="BF69" s="307"/>
      <c r="BG69" s="309"/>
      <c r="BH69" s="307"/>
      <c r="BI69" s="309"/>
      <c r="BJ69" s="307"/>
      <c r="BK69" s="309"/>
      <c r="BL69" s="307"/>
      <c r="BM69" s="309"/>
      <c r="BN69" s="307"/>
      <c r="BO69" s="309"/>
      <c r="BP69" s="307"/>
      <c r="BQ69" s="309"/>
      <c r="BR69" s="307"/>
      <c r="BS69" s="309"/>
      <c r="BT69" s="292">
        <f>IF('Daten 2021'!$AW69="x",'Daten 2021'!$AV69,0)+IF('Daten 2021'!$AY69="x",'Daten 2021'!$AX69,0)+IF('Daten 2021'!$BA69="x",'Daten 2021'!$AZ69,0)+IF('Daten 2021'!$BC69="x",'Daten 2021'!$BB69,0)+IF('Daten 2021'!$BE69="x",'Daten 2021'!$BD69,0)+IF('Daten 2021'!$BG69="x",'Daten 2021'!$BF69,0)+IF('Daten 2021'!$BI69="x",'Daten 2021'!$BH69,0)+IF('Daten 2021'!$BK69="x",'Daten 2021'!$BJ69,0)+IF('Daten 2021'!$BM69="x",'Daten 2021'!$BL69,0)+IF('Daten 2021'!$BO69="x",'Daten 2021'!$BN69,0)+IF('Daten 2021'!$BQ69="x",'Daten 2021'!$BP69,0)+IF('Daten 2021'!$BS69="x",'Daten 2021'!$BR69,0)</f>
        <v>28982.400000000001</v>
      </c>
      <c r="BU69" s="291" t="s">
        <v>244</v>
      </c>
      <c r="BV69" s="291"/>
      <c r="BW69" s="291"/>
      <c r="BX69" s="291"/>
      <c r="BY69" s="291"/>
      <c r="BZ69" s="291"/>
    </row>
    <row r="70" spans="1:78" x14ac:dyDescent="0.3">
      <c r="A70" s="289" t="s">
        <v>74</v>
      </c>
      <c r="B70" s="291" t="s">
        <v>126</v>
      </c>
      <c r="C70" s="289" t="s">
        <v>202</v>
      </c>
      <c r="D70" s="289" t="s">
        <v>318</v>
      </c>
      <c r="E70" s="289" t="s">
        <v>492</v>
      </c>
      <c r="F70" s="289" t="s">
        <v>398</v>
      </c>
      <c r="G70" s="289"/>
      <c r="H70" s="289"/>
      <c r="I70" s="289"/>
      <c r="J70" s="289">
        <v>2</v>
      </c>
      <c r="K70" s="289">
        <v>296</v>
      </c>
      <c r="L70" s="289">
        <v>4358</v>
      </c>
      <c r="M70" s="289">
        <v>0</v>
      </c>
      <c r="N70" s="289">
        <v>0</v>
      </c>
      <c r="O70" s="289">
        <v>0</v>
      </c>
      <c r="P70" s="289">
        <v>0</v>
      </c>
      <c r="Q70" s="289">
        <v>0</v>
      </c>
      <c r="R70" s="289">
        <v>0</v>
      </c>
      <c r="S70" s="289">
        <v>0</v>
      </c>
      <c r="T70" s="289">
        <v>0</v>
      </c>
      <c r="U70" s="289">
        <v>0</v>
      </c>
      <c r="V70" s="289">
        <v>0</v>
      </c>
      <c r="W70" s="289">
        <v>0</v>
      </c>
      <c r="X70" s="289">
        <v>0</v>
      </c>
      <c r="Y70" s="289">
        <v>0</v>
      </c>
      <c r="Z70" s="289">
        <v>0</v>
      </c>
      <c r="AA70" s="289">
        <v>0</v>
      </c>
      <c r="AB70" s="289">
        <v>0</v>
      </c>
      <c r="AC70" s="289">
        <v>0</v>
      </c>
      <c r="AD70" s="289">
        <v>0</v>
      </c>
      <c r="AE70" s="289">
        <v>0</v>
      </c>
      <c r="AF70" s="289">
        <v>0</v>
      </c>
      <c r="AG70" s="289">
        <v>0</v>
      </c>
      <c r="AH70" s="289"/>
      <c r="AI70" s="289"/>
      <c r="AJ70" s="289"/>
      <c r="AK70" s="289"/>
      <c r="AL70" s="289"/>
      <c r="AM70" s="289">
        <v>800</v>
      </c>
      <c r="AN70" s="289">
        <v>2</v>
      </c>
      <c r="AO70" s="290">
        <v>5158</v>
      </c>
      <c r="AP70" s="289"/>
      <c r="AQ70" s="289"/>
      <c r="AR70" s="289" t="s">
        <v>243</v>
      </c>
      <c r="AS70" s="289">
        <v>26564.800000000003</v>
      </c>
      <c r="AT70" s="289">
        <v>13282.400000000001</v>
      </c>
      <c r="AU70" s="289">
        <v>6641.2000000000007</v>
      </c>
      <c r="AV70" s="299">
        <v>26564.799999999999</v>
      </c>
      <c r="AW70" s="300" t="s">
        <v>772</v>
      </c>
      <c r="AX70" s="312">
        <v>-21406.799999999999</v>
      </c>
      <c r="AY70" s="313" t="s">
        <v>772</v>
      </c>
      <c r="AZ70" s="307"/>
      <c r="BA70" s="303"/>
      <c r="BB70" s="307"/>
      <c r="BC70" s="308"/>
      <c r="BD70" s="307"/>
      <c r="BE70" s="304"/>
      <c r="BF70" s="307"/>
      <c r="BG70" s="309"/>
      <c r="BH70" s="307"/>
      <c r="BI70" s="309"/>
      <c r="BJ70" s="307"/>
      <c r="BK70" s="309"/>
      <c r="BL70" s="307"/>
      <c r="BM70" s="309"/>
      <c r="BN70" s="307"/>
      <c r="BO70" s="309"/>
      <c r="BP70" s="307"/>
      <c r="BQ70" s="309"/>
      <c r="BR70" s="307"/>
      <c r="BS70" s="309"/>
      <c r="BT70" s="290">
        <f>IF('Daten 2021'!$AW70="x",'Daten 2021'!$AV70,0)+IF('Daten 2021'!$AY70="x",'Daten 2021'!$AX70,0)+IF('Daten 2021'!$BA70="x",'Daten 2021'!$AZ70,0)+IF('Daten 2021'!$BC70="x",'Daten 2021'!$BB70,0)+IF('Daten 2021'!$BE70="x",'Daten 2021'!$BD70,0)+IF('Daten 2021'!$BG70="x",'Daten 2021'!$BF70,0)+IF('Daten 2021'!$BI70="x",'Daten 2021'!$BH70,0)+IF('Daten 2021'!$BK70="x",'Daten 2021'!$BJ70,0)+IF('Daten 2021'!$BM70="x",'Daten 2021'!$BL70,0)+IF('Daten 2021'!$BO70="x",'Daten 2021'!$BN70,0)+IF('Daten 2021'!$BQ70="x",'Daten 2021'!$BP70,0)+IF('Daten 2021'!$BS70="x",'Daten 2021'!$BR70,0)</f>
        <v>5158</v>
      </c>
      <c r="BU70" s="289" t="s">
        <v>244</v>
      </c>
      <c r="BV70" s="289"/>
      <c r="BW70" s="289"/>
      <c r="BX70" s="289"/>
      <c r="BY70" s="289"/>
      <c r="BZ70" s="289"/>
    </row>
    <row r="71" spans="1:78" x14ac:dyDescent="0.3">
      <c r="A71" s="291" t="s">
        <v>75</v>
      </c>
      <c r="B71" s="291" t="s">
        <v>11</v>
      </c>
      <c r="C71" s="291" t="s">
        <v>203</v>
      </c>
      <c r="D71" s="291" t="s">
        <v>319</v>
      </c>
      <c r="E71" s="291" t="s">
        <v>493</v>
      </c>
      <c r="F71" s="291" t="s">
        <v>399</v>
      </c>
      <c r="G71" s="291"/>
      <c r="H71" s="291"/>
      <c r="I71" s="291"/>
      <c r="J71" s="291">
        <v>0</v>
      </c>
      <c r="K71" s="291">
        <v>0</v>
      </c>
      <c r="L71" s="291">
        <v>0</v>
      </c>
      <c r="M71" s="291">
        <v>6</v>
      </c>
      <c r="N71" s="291">
        <v>720</v>
      </c>
      <c r="O71" s="291">
        <v>14040</v>
      </c>
      <c r="P71" s="291">
        <v>0</v>
      </c>
      <c r="Q71" s="291">
        <v>0</v>
      </c>
      <c r="R71" s="291">
        <v>0</v>
      </c>
      <c r="S71" s="291">
        <v>4</v>
      </c>
      <c r="T71" s="291">
        <v>20</v>
      </c>
      <c r="U71" s="291">
        <v>3440</v>
      </c>
      <c r="V71" s="291">
        <v>0</v>
      </c>
      <c r="W71" s="291">
        <v>0</v>
      </c>
      <c r="X71" s="291">
        <v>0</v>
      </c>
      <c r="Y71" s="291">
        <v>0</v>
      </c>
      <c r="Z71" s="291">
        <v>0</v>
      </c>
      <c r="AA71" s="291">
        <v>0</v>
      </c>
      <c r="AB71" s="291">
        <v>0</v>
      </c>
      <c r="AC71" s="291">
        <v>0</v>
      </c>
      <c r="AD71" s="291">
        <v>0</v>
      </c>
      <c r="AE71" s="291">
        <v>0</v>
      </c>
      <c r="AF71" s="291">
        <v>0</v>
      </c>
      <c r="AG71" s="291">
        <v>0</v>
      </c>
      <c r="AH71" s="291"/>
      <c r="AI71" s="291"/>
      <c r="AJ71" s="291"/>
      <c r="AK71" s="291"/>
      <c r="AL71" s="291"/>
      <c r="AM71" s="291">
        <v>4000</v>
      </c>
      <c r="AN71" s="291">
        <v>10</v>
      </c>
      <c r="AO71" s="292">
        <v>21480</v>
      </c>
      <c r="AP71" s="291"/>
      <c r="AQ71" s="291"/>
      <c r="AR71" s="291" t="s">
        <v>243</v>
      </c>
      <c r="AS71" s="291">
        <v>17184</v>
      </c>
      <c r="AT71" s="291">
        <v>8592</v>
      </c>
      <c r="AU71" s="291">
        <v>4296</v>
      </c>
      <c r="AV71" s="299">
        <v>17184</v>
      </c>
      <c r="AW71" s="300" t="s">
        <v>772</v>
      </c>
      <c r="AX71" s="299">
        <v>4296</v>
      </c>
      <c r="AY71" s="301" t="s">
        <v>772</v>
      </c>
      <c r="AZ71" s="307"/>
      <c r="BA71" s="303"/>
      <c r="BB71" s="307"/>
      <c r="BC71" s="308"/>
      <c r="BD71" s="307"/>
      <c r="BE71" s="304"/>
      <c r="BF71" s="307"/>
      <c r="BG71" s="309"/>
      <c r="BH71" s="307"/>
      <c r="BI71" s="309"/>
      <c r="BJ71" s="307"/>
      <c r="BK71" s="309"/>
      <c r="BL71" s="307"/>
      <c r="BM71" s="309"/>
      <c r="BN71" s="307"/>
      <c r="BO71" s="309"/>
      <c r="BP71" s="307"/>
      <c r="BQ71" s="309"/>
      <c r="BR71" s="307"/>
      <c r="BS71" s="309"/>
      <c r="BT71" s="292">
        <f>IF('Daten 2021'!$AW71="x",'Daten 2021'!$AV71,0)+IF('Daten 2021'!$AY71="x",'Daten 2021'!$AX71,0)+IF('Daten 2021'!$BA71="x",'Daten 2021'!$AZ71,0)+IF('Daten 2021'!$BC71="x",'Daten 2021'!$BB71,0)+IF('Daten 2021'!$BE71="x",'Daten 2021'!$BD71,0)+IF('Daten 2021'!$BG71="x",'Daten 2021'!$BF71,0)+IF('Daten 2021'!$BI71="x",'Daten 2021'!$BH71,0)+IF('Daten 2021'!$BK71="x",'Daten 2021'!$BJ71,0)+IF('Daten 2021'!$BM71="x",'Daten 2021'!$BL71,0)+IF('Daten 2021'!$BO71="x",'Daten 2021'!$BN71,0)+IF('Daten 2021'!$BQ71="x",'Daten 2021'!$BP71,0)+IF('Daten 2021'!$BS71="x",'Daten 2021'!$BR71,0)</f>
        <v>21480</v>
      </c>
      <c r="BU71" s="291" t="s">
        <v>244</v>
      </c>
      <c r="BV71" s="291"/>
      <c r="BW71" s="291"/>
      <c r="BX71" s="291"/>
      <c r="BY71" s="291"/>
      <c r="BZ71" s="291"/>
    </row>
    <row r="72" spans="1:78" x14ac:dyDescent="0.3">
      <c r="A72" s="289" t="s">
        <v>320</v>
      </c>
      <c r="B72" s="291" t="s">
        <v>321</v>
      </c>
      <c r="C72" s="289" t="s">
        <v>334</v>
      </c>
      <c r="D72" s="289" t="s">
        <v>322</v>
      </c>
      <c r="E72" s="289" t="s">
        <v>494</v>
      </c>
      <c r="F72" s="289" t="s">
        <v>818</v>
      </c>
      <c r="G72" s="289"/>
      <c r="H72" s="289"/>
      <c r="I72" s="289"/>
      <c r="J72" s="289">
        <v>0</v>
      </c>
      <c r="K72" s="289">
        <v>0</v>
      </c>
      <c r="L72" s="289">
        <v>0</v>
      </c>
      <c r="M72" s="289">
        <v>0</v>
      </c>
      <c r="N72" s="289">
        <v>0</v>
      </c>
      <c r="O72" s="289">
        <v>0</v>
      </c>
      <c r="P72" s="289">
        <v>0</v>
      </c>
      <c r="Q72" s="289">
        <v>0</v>
      </c>
      <c r="R72" s="289">
        <v>0</v>
      </c>
      <c r="S72" s="289">
        <v>0</v>
      </c>
      <c r="T72" s="289">
        <v>0</v>
      </c>
      <c r="U72" s="289">
        <v>0</v>
      </c>
      <c r="V72" s="289">
        <v>0</v>
      </c>
      <c r="W72" s="289">
        <v>0</v>
      </c>
      <c r="X72" s="289">
        <v>0</v>
      </c>
      <c r="Y72" s="289">
        <v>0</v>
      </c>
      <c r="Z72" s="289">
        <v>0</v>
      </c>
      <c r="AA72" s="289">
        <v>0</v>
      </c>
      <c r="AB72" s="289">
        <v>0</v>
      </c>
      <c r="AC72" s="289">
        <v>0</v>
      </c>
      <c r="AD72" s="289">
        <v>0</v>
      </c>
      <c r="AE72" s="289">
        <v>0</v>
      </c>
      <c r="AF72" s="289">
        <v>0</v>
      </c>
      <c r="AG72" s="289">
        <v>0</v>
      </c>
      <c r="AH72" s="289"/>
      <c r="AI72" s="289"/>
      <c r="AJ72" s="289"/>
      <c r="AK72" s="289"/>
      <c r="AL72" s="289"/>
      <c r="AM72" s="289">
        <v>0</v>
      </c>
      <c r="AN72" s="289">
        <v>0</v>
      </c>
      <c r="AO72" s="290">
        <v>0</v>
      </c>
      <c r="AP72" s="289"/>
      <c r="AQ72" s="289"/>
      <c r="AR72" s="289" t="s">
        <v>243</v>
      </c>
      <c r="AS72" s="289">
        <v>24091.200000000001</v>
      </c>
      <c r="AT72" s="289">
        <v>12045.6</v>
      </c>
      <c r="AU72" s="289">
        <v>6022.8</v>
      </c>
      <c r="AV72" s="299">
        <v>24091.200000000001</v>
      </c>
      <c r="AW72" s="300" t="s">
        <v>772</v>
      </c>
      <c r="AX72" s="312">
        <v>-24091.200000000001</v>
      </c>
      <c r="AY72" s="313" t="s">
        <v>772</v>
      </c>
      <c r="AZ72" s="307"/>
      <c r="BA72" s="303"/>
      <c r="BB72" s="307"/>
      <c r="BC72" s="308"/>
      <c r="BD72" s="307"/>
      <c r="BE72" s="304"/>
      <c r="BF72" s="307"/>
      <c r="BG72" s="309"/>
      <c r="BH72" s="307"/>
      <c r="BI72" s="309"/>
      <c r="BJ72" s="307"/>
      <c r="BK72" s="309"/>
      <c r="BL72" s="307"/>
      <c r="BM72" s="309"/>
      <c r="BN72" s="307"/>
      <c r="BO72" s="309"/>
      <c r="BP72" s="307"/>
      <c r="BQ72" s="309"/>
      <c r="BR72" s="307"/>
      <c r="BS72" s="309"/>
      <c r="BT72" s="290">
        <f>IF('Daten 2021'!$AW72="x",'Daten 2021'!$AV72,0)+IF('Daten 2021'!$AY72="x",'Daten 2021'!$AX72,0)+IF('Daten 2021'!$BA72="x",'Daten 2021'!$AZ72,0)+IF('Daten 2021'!$BC72="x",'Daten 2021'!$BB72,0)+IF('Daten 2021'!$BE72="x",'Daten 2021'!$BD72,0)+IF('Daten 2021'!$BG72="x",'Daten 2021'!$BF72,0)+IF('Daten 2021'!$BI72="x",'Daten 2021'!$BH72,0)+IF('Daten 2021'!$BK72="x",'Daten 2021'!$BJ72,0)+IF('Daten 2021'!$BM72="x",'Daten 2021'!$BL72,0)+IF('Daten 2021'!$BO72="x",'Daten 2021'!$BN72,0)+IF('Daten 2021'!$BQ72="x",'Daten 2021'!$BP72,0)+IF('Daten 2021'!$BS72="x",'Daten 2021'!$BR72,0)</f>
        <v>0</v>
      </c>
      <c r="BU72" s="289" t="s">
        <v>244</v>
      </c>
      <c r="BV72" s="289"/>
      <c r="BW72" s="289"/>
      <c r="BX72" s="289"/>
      <c r="BY72" s="289"/>
      <c r="BZ72" s="289"/>
    </row>
    <row r="73" spans="1:78" x14ac:dyDescent="0.3">
      <c r="A73" s="291" t="s">
        <v>118</v>
      </c>
      <c r="B73" s="291" t="s">
        <v>323</v>
      </c>
      <c r="C73" s="291" t="s">
        <v>204</v>
      </c>
      <c r="D73" s="291" t="s">
        <v>324</v>
      </c>
      <c r="E73" s="291" t="s">
        <v>495</v>
      </c>
      <c r="F73" s="291" t="s">
        <v>400</v>
      </c>
      <c r="G73" s="291"/>
      <c r="H73" s="291"/>
      <c r="I73" s="291"/>
      <c r="J73" s="291">
        <v>15</v>
      </c>
      <c r="K73" s="291">
        <v>1256</v>
      </c>
      <c r="L73" s="291">
        <v>18460</v>
      </c>
      <c r="M73" s="291">
        <v>2</v>
      </c>
      <c r="N73" s="291">
        <v>105</v>
      </c>
      <c r="O73" s="291">
        <v>2052</v>
      </c>
      <c r="P73" s="291">
        <v>1</v>
      </c>
      <c r="Q73" s="291">
        <v>5</v>
      </c>
      <c r="R73" s="291">
        <v>840</v>
      </c>
      <c r="S73" s="291">
        <v>2</v>
      </c>
      <c r="T73" s="291">
        <v>8</v>
      </c>
      <c r="U73" s="291">
        <v>1456</v>
      </c>
      <c r="V73" s="291">
        <v>0</v>
      </c>
      <c r="W73" s="291">
        <v>0</v>
      </c>
      <c r="X73" s="291">
        <v>0</v>
      </c>
      <c r="Y73" s="291">
        <v>0</v>
      </c>
      <c r="Z73" s="291">
        <v>0</v>
      </c>
      <c r="AA73" s="291">
        <v>0</v>
      </c>
      <c r="AB73" s="291">
        <v>0</v>
      </c>
      <c r="AC73" s="291">
        <v>0</v>
      </c>
      <c r="AD73" s="291">
        <v>0</v>
      </c>
      <c r="AE73" s="291">
        <v>0</v>
      </c>
      <c r="AF73" s="291">
        <v>0</v>
      </c>
      <c r="AG73" s="291">
        <v>0</v>
      </c>
      <c r="AH73" s="291"/>
      <c r="AI73" s="291"/>
      <c r="AJ73" s="291"/>
      <c r="AK73" s="291"/>
      <c r="AL73" s="291"/>
      <c r="AM73" s="291">
        <v>8000</v>
      </c>
      <c r="AN73" s="291">
        <v>20</v>
      </c>
      <c r="AO73" s="292">
        <v>30808</v>
      </c>
      <c r="AP73" s="291"/>
      <c r="AQ73" s="291"/>
      <c r="AR73" s="291" t="s">
        <v>243</v>
      </c>
      <c r="AS73" s="291">
        <v>22406.400000000001</v>
      </c>
      <c r="AT73" s="291">
        <v>11203.2</v>
      </c>
      <c r="AU73" s="291">
        <v>5601.6</v>
      </c>
      <c r="AV73" s="299">
        <v>22406.400000000001</v>
      </c>
      <c r="AW73" s="300" t="s">
        <v>772</v>
      </c>
      <c r="AX73" s="312">
        <v>2240</v>
      </c>
      <c r="AY73" s="313" t="s">
        <v>772</v>
      </c>
      <c r="AZ73" s="315">
        <v>6161.5999999999985</v>
      </c>
      <c r="BA73" s="316"/>
      <c r="BB73" s="307"/>
      <c r="BC73" s="308"/>
      <c r="BD73" s="307"/>
      <c r="BE73" s="304"/>
      <c r="BF73" s="307"/>
      <c r="BG73" s="309"/>
      <c r="BH73" s="307"/>
      <c r="BI73" s="309"/>
      <c r="BJ73" s="307"/>
      <c r="BK73" s="309"/>
      <c r="BL73" s="307"/>
      <c r="BM73" s="309"/>
      <c r="BN73" s="307"/>
      <c r="BO73" s="309"/>
      <c r="BP73" s="307"/>
      <c r="BQ73" s="309"/>
      <c r="BR73" s="307"/>
      <c r="BS73" s="309"/>
      <c r="BT73" s="292">
        <f>IF('Daten 2021'!$AW73="x",'Daten 2021'!$AV73,0)+IF('Daten 2021'!$AY73="x",'Daten 2021'!$AX73,0)+IF('Daten 2021'!$BA73="x",'Daten 2021'!$AZ73,0)+IF('Daten 2021'!$BC73="x",'Daten 2021'!$BB73,0)+IF('Daten 2021'!$BE73="x",'Daten 2021'!$BD73,0)+IF('Daten 2021'!$BG73="x",'Daten 2021'!$BF73,0)+IF('Daten 2021'!$BI73="x",'Daten 2021'!$BH73,0)+IF('Daten 2021'!$BK73="x",'Daten 2021'!$BJ73,0)+IF('Daten 2021'!$BM73="x",'Daten 2021'!$BL73,0)+IF('Daten 2021'!$BO73="x",'Daten 2021'!$BN73,0)+IF('Daten 2021'!$BQ73="x",'Daten 2021'!$BP73,0)+IF('Daten 2021'!$BS73="x",'Daten 2021'!$BR73,0)</f>
        <v>24646.400000000001</v>
      </c>
      <c r="BU73" s="291" t="s">
        <v>244</v>
      </c>
      <c r="BV73" s="291"/>
      <c r="BW73" s="291"/>
      <c r="BX73" s="291"/>
      <c r="BY73" s="291"/>
      <c r="BZ73" s="291"/>
    </row>
    <row r="74" spans="1:78" x14ac:dyDescent="0.3">
      <c r="A74" s="289" t="s">
        <v>130</v>
      </c>
      <c r="B74" s="291" t="s">
        <v>211</v>
      </c>
      <c r="C74" s="289" t="s">
        <v>205</v>
      </c>
      <c r="D74" s="289" t="s">
        <v>325</v>
      </c>
      <c r="E74" s="289" t="s">
        <v>496</v>
      </c>
      <c r="F74" s="289" t="s">
        <v>401</v>
      </c>
      <c r="G74" s="289"/>
      <c r="H74" s="289"/>
      <c r="I74" s="289"/>
      <c r="J74" s="289">
        <v>0</v>
      </c>
      <c r="K74" s="289">
        <v>0</v>
      </c>
      <c r="L74" s="289">
        <v>0</v>
      </c>
      <c r="M74" s="289">
        <v>1</v>
      </c>
      <c r="N74" s="289">
        <v>83</v>
      </c>
      <c r="O74" s="289">
        <v>1625</v>
      </c>
      <c r="P74" s="289">
        <v>2</v>
      </c>
      <c r="Q74" s="289">
        <v>12</v>
      </c>
      <c r="R74" s="289">
        <v>1900</v>
      </c>
      <c r="S74" s="289">
        <v>3</v>
      </c>
      <c r="T74" s="289">
        <v>12</v>
      </c>
      <c r="U74" s="289">
        <v>2268</v>
      </c>
      <c r="V74" s="289">
        <v>0</v>
      </c>
      <c r="W74" s="289">
        <v>0</v>
      </c>
      <c r="X74" s="289">
        <v>0</v>
      </c>
      <c r="Y74" s="289">
        <v>0</v>
      </c>
      <c r="Z74" s="289">
        <v>0</v>
      </c>
      <c r="AA74" s="289">
        <v>0</v>
      </c>
      <c r="AB74" s="289">
        <v>0</v>
      </c>
      <c r="AC74" s="289">
        <v>0</v>
      </c>
      <c r="AD74" s="289">
        <v>0</v>
      </c>
      <c r="AE74" s="289">
        <v>0</v>
      </c>
      <c r="AF74" s="289">
        <v>0</v>
      </c>
      <c r="AG74" s="289">
        <v>0</v>
      </c>
      <c r="AH74" s="289"/>
      <c r="AI74" s="289"/>
      <c r="AJ74" s="289"/>
      <c r="AK74" s="289"/>
      <c r="AL74" s="289"/>
      <c r="AM74" s="289">
        <v>2400</v>
      </c>
      <c r="AN74" s="289">
        <v>6</v>
      </c>
      <c r="AO74" s="290">
        <v>8193</v>
      </c>
      <c r="AP74" s="289"/>
      <c r="AQ74" s="289"/>
      <c r="AR74" s="289" t="s">
        <v>243</v>
      </c>
      <c r="AS74" s="289">
        <v>10382.400000000001</v>
      </c>
      <c r="AT74" s="289">
        <v>5191.2000000000007</v>
      </c>
      <c r="AU74" s="289">
        <v>2595.6000000000004</v>
      </c>
      <c r="AV74" s="299">
        <v>10382.4</v>
      </c>
      <c r="AW74" s="300" t="s">
        <v>772</v>
      </c>
      <c r="AX74" s="312">
        <v>-2189.3999999999996</v>
      </c>
      <c r="AY74" s="313" t="s">
        <v>772</v>
      </c>
      <c r="AZ74" s="307"/>
      <c r="BA74" s="303"/>
      <c r="BB74" s="307"/>
      <c r="BC74" s="308"/>
      <c r="BD74" s="307"/>
      <c r="BE74" s="304"/>
      <c r="BF74" s="307"/>
      <c r="BG74" s="309"/>
      <c r="BH74" s="307"/>
      <c r="BI74" s="309"/>
      <c r="BJ74" s="307"/>
      <c r="BK74" s="309"/>
      <c r="BL74" s="307"/>
      <c r="BM74" s="309"/>
      <c r="BN74" s="307"/>
      <c r="BO74" s="309"/>
      <c r="BP74" s="307"/>
      <c r="BQ74" s="309"/>
      <c r="BR74" s="307"/>
      <c r="BS74" s="309"/>
      <c r="BT74" s="290">
        <f>IF('Daten 2021'!$AW74="x",'Daten 2021'!$AV74,0)+IF('Daten 2021'!$AY74="x",'Daten 2021'!$AX74,0)+IF('Daten 2021'!$BA74="x",'Daten 2021'!$AZ74,0)+IF('Daten 2021'!$BC74="x",'Daten 2021'!$BB74,0)+IF('Daten 2021'!$BE74="x",'Daten 2021'!$BD74,0)+IF('Daten 2021'!$BG74="x",'Daten 2021'!$BF74,0)+IF('Daten 2021'!$BI74="x",'Daten 2021'!$BH74,0)+IF('Daten 2021'!$BK74="x",'Daten 2021'!$BJ74,0)+IF('Daten 2021'!$BM74="x",'Daten 2021'!$BL74,0)+IF('Daten 2021'!$BO74="x",'Daten 2021'!$BN74,0)+IF('Daten 2021'!$BQ74="x",'Daten 2021'!$BP74,0)+IF('Daten 2021'!$BS74="x",'Daten 2021'!$BR74,0)</f>
        <v>8193</v>
      </c>
      <c r="BU74" s="289" t="s">
        <v>244</v>
      </c>
      <c r="BV74" s="289"/>
      <c r="BW74" s="289"/>
      <c r="BX74" s="289"/>
      <c r="BY74" s="289"/>
      <c r="BZ74" s="289"/>
    </row>
    <row r="75" spans="1:78" x14ac:dyDescent="0.3">
      <c r="A75" s="291" t="s">
        <v>131</v>
      </c>
      <c r="B75" s="291" t="s">
        <v>134</v>
      </c>
      <c r="C75" s="291" t="s">
        <v>206</v>
      </c>
      <c r="D75" s="291" t="s">
        <v>326</v>
      </c>
      <c r="E75" s="291" t="s">
        <v>497</v>
      </c>
      <c r="F75" s="291" t="s">
        <v>819</v>
      </c>
      <c r="G75" s="291"/>
      <c r="H75" s="291" t="s">
        <v>402</v>
      </c>
      <c r="I75" s="291"/>
      <c r="J75" s="291">
        <v>2</v>
      </c>
      <c r="K75" s="291">
        <v>280</v>
      </c>
      <c r="L75" s="291">
        <v>4116</v>
      </c>
      <c r="M75" s="291">
        <v>2</v>
      </c>
      <c r="N75" s="291">
        <v>240</v>
      </c>
      <c r="O75" s="291">
        <v>4680</v>
      </c>
      <c r="P75" s="291">
        <v>3</v>
      </c>
      <c r="Q75" s="291">
        <v>15</v>
      </c>
      <c r="R75" s="291">
        <v>2580</v>
      </c>
      <c r="S75" s="291">
        <v>2</v>
      </c>
      <c r="T75" s="291">
        <v>10</v>
      </c>
      <c r="U75" s="291">
        <v>1720</v>
      </c>
      <c r="V75" s="291">
        <v>0</v>
      </c>
      <c r="W75" s="291">
        <v>0</v>
      </c>
      <c r="X75" s="291">
        <v>0</v>
      </c>
      <c r="Y75" s="291">
        <v>0</v>
      </c>
      <c r="Z75" s="291">
        <v>0</v>
      </c>
      <c r="AA75" s="291">
        <v>0</v>
      </c>
      <c r="AB75" s="291">
        <v>0</v>
      </c>
      <c r="AC75" s="291">
        <v>0</v>
      </c>
      <c r="AD75" s="291">
        <v>0</v>
      </c>
      <c r="AE75" s="291">
        <v>0</v>
      </c>
      <c r="AF75" s="291">
        <v>0</v>
      </c>
      <c r="AG75" s="291">
        <v>0</v>
      </c>
      <c r="AH75" s="291"/>
      <c r="AI75" s="291"/>
      <c r="AJ75" s="291"/>
      <c r="AK75" s="291"/>
      <c r="AL75" s="291"/>
      <c r="AM75" s="291">
        <v>3600</v>
      </c>
      <c r="AN75" s="291">
        <v>9</v>
      </c>
      <c r="AO75" s="292">
        <v>16696</v>
      </c>
      <c r="AP75" s="291"/>
      <c r="AQ75" s="291"/>
      <c r="AR75" s="291" t="s">
        <v>243</v>
      </c>
      <c r="AS75" s="291">
        <v>13356.800000000001</v>
      </c>
      <c r="AT75" s="291">
        <v>6678.4000000000005</v>
      </c>
      <c r="AU75" s="291">
        <v>3339.2000000000003</v>
      </c>
      <c r="AV75" s="299">
        <v>13356.8</v>
      </c>
      <c r="AW75" s="300" t="s">
        <v>772</v>
      </c>
      <c r="AX75" s="299">
        <v>3339.2000000000007</v>
      </c>
      <c r="AY75" s="301"/>
      <c r="AZ75" s="307"/>
      <c r="BA75" s="303"/>
      <c r="BB75" s="307"/>
      <c r="BC75" s="308"/>
      <c r="BD75" s="307"/>
      <c r="BE75" s="304"/>
      <c r="BF75" s="307"/>
      <c r="BG75" s="309"/>
      <c r="BH75" s="307"/>
      <c r="BI75" s="309"/>
      <c r="BJ75" s="307"/>
      <c r="BK75" s="309"/>
      <c r="BL75" s="307"/>
      <c r="BM75" s="309"/>
      <c r="BN75" s="307"/>
      <c r="BO75" s="309"/>
      <c r="BP75" s="307"/>
      <c r="BQ75" s="309"/>
      <c r="BR75" s="307"/>
      <c r="BS75" s="309"/>
      <c r="BT75" s="292">
        <f>IF('Daten 2021'!$AW75="x",'Daten 2021'!$AV75,0)+IF('Daten 2021'!$AY75="x",'Daten 2021'!$AX75,0)+IF('Daten 2021'!$BA75="x",'Daten 2021'!$AZ75,0)+IF('Daten 2021'!$BC75="x",'Daten 2021'!$BB75,0)+IF('Daten 2021'!$BE75="x",'Daten 2021'!$BD75,0)+IF('Daten 2021'!$BG75="x",'Daten 2021'!$BF75,0)+IF('Daten 2021'!$BI75="x",'Daten 2021'!$BH75,0)+IF('Daten 2021'!$BK75="x",'Daten 2021'!$BJ75,0)+IF('Daten 2021'!$BM75="x",'Daten 2021'!$BL75,0)+IF('Daten 2021'!$BO75="x",'Daten 2021'!$BN75,0)+IF('Daten 2021'!$BQ75="x",'Daten 2021'!$BP75,0)+IF('Daten 2021'!$BS75="x",'Daten 2021'!$BR75,0)</f>
        <v>13356.8</v>
      </c>
      <c r="BU75" s="291" t="s">
        <v>244</v>
      </c>
      <c r="BV75" s="291"/>
      <c r="BW75" s="291"/>
      <c r="BX75" s="291"/>
      <c r="BY75" s="291"/>
      <c r="BZ75" s="291"/>
    </row>
    <row r="76" spans="1:78" x14ac:dyDescent="0.3">
      <c r="A76" s="289" t="s">
        <v>327</v>
      </c>
      <c r="B76" s="291" t="s">
        <v>328</v>
      </c>
      <c r="C76" s="289" t="s">
        <v>335</v>
      </c>
      <c r="D76" s="289" t="s">
        <v>329</v>
      </c>
      <c r="E76" s="289" t="s">
        <v>498</v>
      </c>
      <c r="F76" s="289" t="s">
        <v>804</v>
      </c>
      <c r="G76" s="289"/>
      <c r="H76" s="289"/>
      <c r="I76" s="289"/>
      <c r="J76" s="289">
        <v>37</v>
      </c>
      <c r="K76" s="289">
        <v>4560</v>
      </c>
      <c r="L76" s="289">
        <v>71256</v>
      </c>
      <c r="M76" s="289">
        <v>37</v>
      </c>
      <c r="N76" s="289">
        <v>3920</v>
      </c>
      <c r="O76" s="289">
        <v>80280</v>
      </c>
      <c r="P76" s="289">
        <v>6</v>
      </c>
      <c r="Q76" s="289">
        <v>30</v>
      </c>
      <c r="R76" s="289">
        <v>5160</v>
      </c>
      <c r="S76" s="289">
        <v>6</v>
      </c>
      <c r="T76" s="289">
        <v>30</v>
      </c>
      <c r="U76" s="289">
        <v>5160</v>
      </c>
      <c r="V76" s="289">
        <v>0</v>
      </c>
      <c r="W76" s="289">
        <v>0</v>
      </c>
      <c r="X76" s="289">
        <v>0</v>
      </c>
      <c r="Y76" s="289">
        <v>0</v>
      </c>
      <c r="Z76" s="289">
        <v>0</v>
      </c>
      <c r="AA76" s="289">
        <v>0</v>
      </c>
      <c r="AB76" s="289">
        <v>0</v>
      </c>
      <c r="AC76" s="289">
        <v>0</v>
      </c>
      <c r="AD76" s="289">
        <v>0</v>
      </c>
      <c r="AE76" s="289">
        <v>0</v>
      </c>
      <c r="AF76" s="289">
        <v>0</v>
      </c>
      <c r="AG76" s="289">
        <v>0</v>
      </c>
      <c r="AH76" s="289"/>
      <c r="AI76" s="289"/>
      <c r="AJ76" s="289"/>
      <c r="AK76" s="289"/>
      <c r="AL76" s="289"/>
      <c r="AM76" s="289">
        <v>34400</v>
      </c>
      <c r="AN76" s="289">
        <v>86</v>
      </c>
      <c r="AO76" s="290">
        <v>196256</v>
      </c>
      <c r="AP76" s="289"/>
      <c r="AQ76" s="289"/>
      <c r="AR76" s="289" t="s">
        <v>253</v>
      </c>
      <c r="AS76" s="289">
        <v>157004.80000000002</v>
      </c>
      <c r="AT76" s="289">
        <v>78502.400000000009</v>
      </c>
      <c r="AU76" s="289">
        <v>39251.200000000004</v>
      </c>
      <c r="AV76" s="299">
        <v>78502.399999999994</v>
      </c>
      <c r="AW76" s="300" t="s">
        <v>772</v>
      </c>
      <c r="AX76" s="299">
        <v>78502.400000000009</v>
      </c>
      <c r="AY76" s="301"/>
      <c r="AZ76" s="299">
        <v>39251.200000000012</v>
      </c>
      <c r="BA76" s="301"/>
      <c r="BB76" s="307"/>
      <c r="BC76" s="308"/>
      <c r="BD76" s="307"/>
      <c r="BE76" s="304"/>
      <c r="BF76" s="307"/>
      <c r="BG76" s="309"/>
      <c r="BH76" s="307"/>
      <c r="BI76" s="309"/>
      <c r="BJ76" s="307"/>
      <c r="BK76" s="309"/>
      <c r="BL76" s="307"/>
      <c r="BM76" s="309"/>
      <c r="BN76" s="307"/>
      <c r="BO76" s="309"/>
      <c r="BP76" s="307"/>
      <c r="BQ76" s="309"/>
      <c r="BR76" s="307"/>
      <c r="BS76" s="309"/>
      <c r="BT76" s="290">
        <f>IF('Daten 2021'!$AW76="x",'Daten 2021'!$AV76,0)+IF('Daten 2021'!$AY76="x",'Daten 2021'!$AX76,0)+IF('Daten 2021'!$BA76="x",'Daten 2021'!$AZ76,0)+IF('Daten 2021'!$BC76="x",'Daten 2021'!$BB76,0)+IF('Daten 2021'!$BE76="x",'Daten 2021'!$BD76,0)+IF('Daten 2021'!$BG76="x",'Daten 2021'!$BF76,0)+IF('Daten 2021'!$BI76="x",'Daten 2021'!$BH76,0)+IF('Daten 2021'!$BK76="x",'Daten 2021'!$BJ76,0)+IF('Daten 2021'!$BM76="x",'Daten 2021'!$BL76,0)+IF('Daten 2021'!$BO76="x",'Daten 2021'!$BN76,0)+IF('Daten 2021'!$BQ76="x",'Daten 2021'!$BP76,0)+IF('Daten 2021'!$BS76="x",'Daten 2021'!$BR76,0)</f>
        <v>78502.399999999994</v>
      </c>
      <c r="BU76" s="289" t="s">
        <v>244</v>
      </c>
      <c r="BV76" s="289"/>
      <c r="BW76" s="289"/>
      <c r="BX76" s="289"/>
      <c r="BY76" s="289"/>
      <c r="BZ76" s="289"/>
    </row>
    <row r="77" spans="1:78" x14ac:dyDescent="0.3">
      <c r="A77" s="291" t="s">
        <v>76</v>
      </c>
      <c r="B77" s="291" t="s">
        <v>127</v>
      </c>
      <c r="C77" s="291" t="s">
        <v>207</v>
      </c>
      <c r="D77" s="291" t="s">
        <v>330</v>
      </c>
      <c r="E77" s="291" t="s">
        <v>499</v>
      </c>
      <c r="F77" s="291" t="s">
        <v>404</v>
      </c>
      <c r="G77" s="291"/>
      <c r="H77" s="291" t="s">
        <v>403</v>
      </c>
      <c r="I77" s="291"/>
      <c r="J77" s="291">
        <v>53</v>
      </c>
      <c r="K77" s="291">
        <v>7943</v>
      </c>
      <c r="L77" s="291">
        <v>116759</v>
      </c>
      <c r="M77" s="291">
        <v>35</v>
      </c>
      <c r="N77" s="291">
        <v>5339</v>
      </c>
      <c r="O77" s="291">
        <v>104112</v>
      </c>
      <c r="P77" s="291">
        <v>4</v>
      </c>
      <c r="Q77" s="291">
        <v>30</v>
      </c>
      <c r="R77" s="291">
        <v>4615</v>
      </c>
      <c r="S77" s="291">
        <v>0</v>
      </c>
      <c r="T77" s="291">
        <v>0</v>
      </c>
      <c r="U77" s="291">
        <v>0</v>
      </c>
      <c r="V77" s="291">
        <v>0</v>
      </c>
      <c r="W77" s="291">
        <v>0</v>
      </c>
      <c r="X77" s="291">
        <v>0</v>
      </c>
      <c r="Y77" s="291">
        <v>0</v>
      </c>
      <c r="Z77" s="291">
        <v>0</v>
      </c>
      <c r="AA77" s="291">
        <v>0</v>
      </c>
      <c r="AB77" s="291">
        <v>0</v>
      </c>
      <c r="AC77" s="291">
        <v>0</v>
      </c>
      <c r="AD77" s="291">
        <v>0</v>
      </c>
      <c r="AE77" s="291">
        <v>0</v>
      </c>
      <c r="AF77" s="291">
        <v>0</v>
      </c>
      <c r="AG77" s="291">
        <v>0</v>
      </c>
      <c r="AH77" s="291"/>
      <c r="AI77" s="291"/>
      <c r="AJ77" s="291"/>
      <c r="AK77" s="291"/>
      <c r="AL77" s="291"/>
      <c r="AM77" s="291">
        <v>36800</v>
      </c>
      <c r="AN77" s="291">
        <v>92</v>
      </c>
      <c r="AO77" s="292">
        <v>262286</v>
      </c>
      <c r="AP77" s="291"/>
      <c r="AQ77" s="291"/>
      <c r="AR77" s="291" t="s">
        <v>243</v>
      </c>
      <c r="AS77" s="291">
        <v>215516.80000000002</v>
      </c>
      <c r="AT77" s="291">
        <v>107758.40000000001</v>
      </c>
      <c r="AU77" s="291">
        <v>53879.200000000004</v>
      </c>
      <c r="AV77" s="299">
        <v>215516.79999999999</v>
      </c>
      <c r="AW77" s="300" t="s">
        <v>772</v>
      </c>
      <c r="AX77" s="312">
        <v>46769.200000000012</v>
      </c>
      <c r="AY77" s="313" t="s">
        <v>772</v>
      </c>
      <c r="AZ77" s="307"/>
      <c r="BA77" s="303"/>
      <c r="BB77" s="307"/>
      <c r="BC77" s="308"/>
      <c r="BD77" s="307"/>
      <c r="BE77" s="304"/>
      <c r="BF77" s="307"/>
      <c r="BG77" s="309"/>
      <c r="BH77" s="307"/>
      <c r="BI77" s="309"/>
      <c r="BJ77" s="307"/>
      <c r="BK77" s="309"/>
      <c r="BL77" s="307"/>
      <c r="BM77" s="309"/>
      <c r="BN77" s="307"/>
      <c r="BO77" s="309"/>
      <c r="BP77" s="307"/>
      <c r="BQ77" s="309"/>
      <c r="BR77" s="307"/>
      <c r="BS77" s="309"/>
      <c r="BT77" s="292">
        <f>IF('Daten 2021'!$AW77="x",'Daten 2021'!$AV77,0)+IF('Daten 2021'!$AY77="x",'Daten 2021'!$AX77,0)+IF('Daten 2021'!$BA77="x",'Daten 2021'!$AZ77,0)+IF('Daten 2021'!$BC77="x",'Daten 2021'!$BB77,0)+IF('Daten 2021'!$BE77="x",'Daten 2021'!$BD77,0)+IF('Daten 2021'!$BG77="x",'Daten 2021'!$BF77,0)+IF('Daten 2021'!$BI77="x",'Daten 2021'!$BH77,0)+IF('Daten 2021'!$BK77="x",'Daten 2021'!$BJ77,0)+IF('Daten 2021'!$BM77="x",'Daten 2021'!$BL77,0)+IF('Daten 2021'!$BO77="x",'Daten 2021'!$BN77,0)+IF('Daten 2021'!$BQ77="x",'Daten 2021'!$BP77,0)+IF('Daten 2021'!$BS77="x",'Daten 2021'!$BR77,0)</f>
        <v>262286</v>
      </c>
      <c r="BU77" s="291" t="s">
        <v>244</v>
      </c>
      <c r="BV77" s="291"/>
      <c r="BW77" s="291"/>
      <c r="BX77" s="291"/>
      <c r="BY77" s="291"/>
      <c r="BZ77" s="291"/>
    </row>
    <row r="78" spans="1:78" x14ac:dyDescent="0.3">
      <c r="A78" s="289" t="s">
        <v>77</v>
      </c>
      <c r="B78" s="291" t="s">
        <v>12</v>
      </c>
      <c r="C78" s="289" t="s">
        <v>208</v>
      </c>
      <c r="D78" s="289" t="s">
        <v>331</v>
      </c>
      <c r="E78" s="289" t="s">
        <v>500</v>
      </c>
      <c r="F78" s="289" t="s">
        <v>405</v>
      </c>
      <c r="G78" s="289"/>
      <c r="H78" s="289"/>
      <c r="I78" s="289"/>
      <c r="J78" s="289">
        <v>34</v>
      </c>
      <c r="K78" s="289">
        <v>3144</v>
      </c>
      <c r="L78" s="289">
        <v>46221</v>
      </c>
      <c r="M78" s="289">
        <v>0</v>
      </c>
      <c r="N78" s="289">
        <v>0</v>
      </c>
      <c r="O78" s="289">
        <v>0</v>
      </c>
      <c r="P78" s="289">
        <v>5</v>
      </c>
      <c r="Q78" s="289">
        <v>25</v>
      </c>
      <c r="R78" s="289">
        <v>4300</v>
      </c>
      <c r="S78" s="289">
        <v>8</v>
      </c>
      <c r="T78" s="289">
        <v>40</v>
      </c>
      <c r="U78" s="289">
        <v>6880</v>
      </c>
      <c r="V78" s="289">
        <v>0</v>
      </c>
      <c r="W78" s="289">
        <v>0</v>
      </c>
      <c r="X78" s="289">
        <v>0</v>
      </c>
      <c r="Y78" s="289">
        <v>0</v>
      </c>
      <c r="Z78" s="289">
        <v>0</v>
      </c>
      <c r="AA78" s="289">
        <v>0</v>
      </c>
      <c r="AB78" s="289">
        <v>0</v>
      </c>
      <c r="AC78" s="289">
        <v>0</v>
      </c>
      <c r="AD78" s="289">
        <v>0</v>
      </c>
      <c r="AE78" s="289">
        <v>0</v>
      </c>
      <c r="AF78" s="289">
        <v>0</v>
      </c>
      <c r="AG78" s="289">
        <v>0</v>
      </c>
      <c r="AH78" s="289"/>
      <c r="AI78" s="289"/>
      <c r="AJ78" s="289"/>
      <c r="AK78" s="289"/>
      <c r="AL78" s="289"/>
      <c r="AM78" s="289">
        <v>18800</v>
      </c>
      <c r="AN78" s="289">
        <v>47</v>
      </c>
      <c r="AO78" s="290">
        <v>76201</v>
      </c>
      <c r="AP78" s="289"/>
      <c r="AQ78" s="289"/>
      <c r="AR78" s="289" t="s">
        <v>243</v>
      </c>
      <c r="AS78" s="289">
        <v>131912</v>
      </c>
      <c r="AT78" s="289">
        <v>65956</v>
      </c>
      <c r="AU78" s="289">
        <v>32978</v>
      </c>
      <c r="AV78" s="299">
        <v>131912</v>
      </c>
      <c r="AW78" s="300" t="s">
        <v>772</v>
      </c>
      <c r="AX78" s="305">
        <v>-55711</v>
      </c>
      <c r="AY78" s="306" t="s">
        <v>772</v>
      </c>
      <c r="AZ78" s="307"/>
      <c r="BA78" s="303"/>
      <c r="BB78" s="307"/>
      <c r="BC78" s="308"/>
      <c r="BD78" s="307"/>
      <c r="BE78" s="304"/>
      <c r="BF78" s="307"/>
      <c r="BG78" s="309"/>
      <c r="BH78" s="307"/>
      <c r="BI78" s="309"/>
      <c r="BJ78" s="307"/>
      <c r="BK78" s="309"/>
      <c r="BL78" s="307"/>
      <c r="BM78" s="309"/>
      <c r="BN78" s="307"/>
      <c r="BO78" s="309"/>
      <c r="BP78" s="307"/>
      <c r="BQ78" s="309"/>
      <c r="BR78" s="307"/>
      <c r="BS78" s="309"/>
      <c r="BT78" s="290">
        <f>IF('Daten 2021'!$AW78="x",'Daten 2021'!$AV78,0)+IF('Daten 2021'!$AY78="x",'Daten 2021'!$AX78,0)+IF('Daten 2021'!$BA78="x",'Daten 2021'!$AZ78,0)+IF('Daten 2021'!$BC78="x",'Daten 2021'!$BB78,0)+IF('Daten 2021'!$BE78="x",'Daten 2021'!$BD78,0)+IF('Daten 2021'!$BG78="x",'Daten 2021'!$BF78,0)+IF('Daten 2021'!$BI78="x",'Daten 2021'!$BH78,0)+IF('Daten 2021'!$BK78="x",'Daten 2021'!$BJ78,0)+IF('Daten 2021'!$BM78="x",'Daten 2021'!$BL78,0)+IF('Daten 2021'!$BO78="x",'Daten 2021'!$BN78,0)+IF('Daten 2021'!$BQ78="x",'Daten 2021'!$BP78,0)+IF('Daten 2021'!$BS78="x",'Daten 2021'!$BR78,0)</f>
        <v>76201</v>
      </c>
      <c r="BU78" s="289" t="s">
        <v>244</v>
      </c>
      <c r="BV78" s="289"/>
      <c r="BW78" s="289"/>
      <c r="BX78" s="289"/>
      <c r="BY78" s="289"/>
      <c r="BZ78" s="289"/>
    </row>
    <row r="83" spans="1:78" s="337" customFormat="1" x14ac:dyDescent="0.3">
      <c r="A83" s="337">
        <v>1</v>
      </c>
      <c r="B83" s="337">
        <v>2</v>
      </c>
      <c r="C83" s="338">
        <v>3</v>
      </c>
      <c r="D83" s="337">
        <v>4</v>
      </c>
      <c r="E83" s="337">
        <v>5</v>
      </c>
      <c r="F83" s="338">
        <v>6</v>
      </c>
      <c r="G83" s="337">
        <v>7</v>
      </c>
      <c r="H83" s="337">
        <v>8</v>
      </c>
      <c r="I83" s="338">
        <v>9</v>
      </c>
      <c r="J83" s="337">
        <v>10</v>
      </c>
      <c r="K83" s="337">
        <v>11</v>
      </c>
      <c r="L83" s="338">
        <v>12</v>
      </c>
      <c r="M83" s="337">
        <v>13</v>
      </c>
      <c r="N83" s="337">
        <v>14</v>
      </c>
      <c r="O83" s="338">
        <v>15</v>
      </c>
      <c r="P83" s="337">
        <v>16</v>
      </c>
      <c r="Q83" s="337">
        <v>17</v>
      </c>
      <c r="R83" s="338">
        <v>18</v>
      </c>
      <c r="S83" s="337">
        <v>19</v>
      </c>
      <c r="T83" s="337">
        <v>20</v>
      </c>
      <c r="U83" s="338">
        <v>21</v>
      </c>
      <c r="V83" s="337">
        <v>22</v>
      </c>
      <c r="W83" s="337">
        <v>23</v>
      </c>
      <c r="X83" s="338">
        <v>24</v>
      </c>
      <c r="Y83" s="337">
        <v>25</v>
      </c>
      <c r="Z83" s="337">
        <v>26</v>
      </c>
      <c r="AA83" s="338">
        <v>27</v>
      </c>
      <c r="AB83" s="337">
        <v>28</v>
      </c>
      <c r="AC83" s="337">
        <v>29</v>
      </c>
      <c r="AD83" s="338">
        <v>30</v>
      </c>
      <c r="AE83" s="337">
        <v>31</v>
      </c>
      <c r="AH83" s="337">
        <v>32</v>
      </c>
      <c r="AI83" s="338">
        <v>33</v>
      </c>
      <c r="AJ83" s="337">
        <v>34</v>
      </c>
      <c r="AK83" s="337">
        <v>35</v>
      </c>
      <c r="AL83" s="338">
        <v>36</v>
      </c>
      <c r="AM83" s="337">
        <v>37</v>
      </c>
      <c r="AN83" s="337">
        <v>38</v>
      </c>
      <c r="AO83" s="338">
        <v>39</v>
      </c>
      <c r="AP83" s="337">
        <v>40</v>
      </c>
      <c r="AQ83" s="337">
        <v>41</v>
      </c>
      <c r="AR83" s="338">
        <v>42</v>
      </c>
      <c r="AS83" s="337">
        <v>43</v>
      </c>
      <c r="AT83" s="337">
        <v>44</v>
      </c>
      <c r="AU83" s="338">
        <v>45</v>
      </c>
      <c r="AV83" s="337">
        <v>46</v>
      </c>
      <c r="AW83" s="337">
        <v>47</v>
      </c>
      <c r="AX83" s="338">
        <v>48</v>
      </c>
      <c r="AY83" s="337">
        <v>49</v>
      </c>
      <c r="AZ83" s="337">
        <v>50</v>
      </c>
      <c r="BA83" s="338">
        <v>51</v>
      </c>
      <c r="BB83" s="337">
        <v>52</v>
      </c>
      <c r="BC83" s="337">
        <v>53</v>
      </c>
      <c r="BD83" s="338">
        <v>54</v>
      </c>
      <c r="BE83" s="337">
        <v>55</v>
      </c>
      <c r="BF83" s="337">
        <v>56</v>
      </c>
      <c r="BG83" s="338">
        <v>57</v>
      </c>
      <c r="BH83" s="337">
        <v>58</v>
      </c>
      <c r="BI83" s="337">
        <v>59</v>
      </c>
      <c r="BJ83" s="338">
        <v>60</v>
      </c>
      <c r="BK83" s="337">
        <v>61</v>
      </c>
      <c r="BL83" s="337">
        <v>62</v>
      </c>
      <c r="BM83" s="338">
        <v>63</v>
      </c>
      <c r="BN83" s="337">
        <v>64</v>
      </c>
      <c r="BO83" s="337">
        <v>65</v>
      </c>
      <c r="BP83" s="338">
        <v>66</v>
      </c>
      <c r="BQ83" s="337">
        <v>67</v>
      </c>
      <c r="BR83" s="337">
        <v>68</v>
      </c>
      <c r="BS83" s="338">
        <v>69</v>
      </c>
      <c r="BT83" s="337">
        <v>70</v>
      </c>
      <c r="BU83" s="337">
        <v>71</v>
      </c>
      <c r="BV83" s="338">
        <v>72</v>
      </c>
      <c r="BW83" s="337">
        <v>73</v>
      </c>
      <c r="BX83" s="337">
        <v>74</v>
      </c>
      <c r="BY83" s="338">
        <v>75</v>
      </c>
      <c r="BZ83" s="337">
        <v>76</v>
      </c>
    </row>
    <row r="84" spans="1:78" x14ac:dyDescent="0.3">
      <c r="A84" s="27">
        <v>1</v>
      </c>
      <c r="B84" s="27">
        <v>2</v>
      </c>
      <c r="C84" s="31">
        <v>3</v>
      </c>
      <c r="D84" s="27">
        <v>4</v>
      </c>
      <c r="E84" s="27">
        <v>5</v>
      </c>
      <c r="F84" s="31">
        <v>6</v>
      </c>
      <c r="G84" s="27">
        <v>7</v>
      </c>
      <c r="H84" s="27">
        <v>8</v>
      </c>
      <c r="I84" s="31">
        <v>9</v>
      </c>
      <c r="J84" s="27">
        <v>10</v>
      </c>
      <c r="K84" s="27">
        <v>11</v>
      </c>
      <c r="L84" s="31">
        <v>12</v>
      </c>
      <c r="M84" s="27">
        <v>13</v>
      </c>
      <c r="N84" s="27">
        <v>14</v>
      </c>
      <c r="O84" s="31">
        <v>15</v>
      </c>
      <c r="P84" s="27">
        <v>16</v>
      </c>
      <c r="Q84" s="27">
        <v>17</v>
      </c>
      <c r="R84" s="31">
        <v>18</v>
      </c>
      <c r="S84" s="27">
        <v>19</v>
      </c>
      <c r="T84" s="27">
        <v>20</v>
      </c>
      <c r="U84" s="31">
        <v>21</v>
      </c>
      <c r="V84" s="27">
        <v>22</v>
      </c>
      <c r="W84" s="27">
        <v>23</v>
      </c>
      <c r="X84" s="31">
        <v>24</v>
      </c>
      <c r="Y84" s="27">
        <v>25</v>
      </c>
      <c r="Z84" s="27">
        <v>26</v>
      </c>
      <c r="AA84" s="31">
        <v>27</v>
      </c>
      <c r="AB84" s="27">
        <v>28</v>
      </c>
      <c r="AC84" s="27">
        <v>29</v>
      </c>
      <c r="AD84" s="31">
        <v>30</v>
      </c>
      <c r="AE84" s="27">
        <v>31</v>
      </c>
      <c r="AF84" s="27">
        <v>32</v>
      </c>
      <c r="AG84" s="31">
        <v>33</v>
      </c>
      <c r="AH84" s="27">
        <v>34</v>
      </c>
      <c r="AI84" s="27">
        <v>35</v>
      </c>
      <c r="AJ84" s="31">
        <v>36</v>
      </c>
      <c r="AK84" s="27">
        <v>37</v>
      </c>
      <c r="AL84" s="27">
        <v>38</v>
      </c>
      <c r="AM84" s="31">
        <v>39</v>
      </c>
      <c r="AN84" s="27">
        <v>40</v>
      </c>
      <c r="AO84" s="27">
        <v>41</v>
      </c>
      <c r="AP84" s="31">
        <v>42</v>
      </c>
      <c r="AQ84" s="27">
        <v>43</v>
      </c>
      <c r="AR84" s="27">
        <v>44</v>
      </c>
      <c r="AS84" s="31">
        <v>45</v>
      </c>
      <c r="AT84" s="27">
        <v>46</v>
      </c>
      <c r="AU84" s="27">
        <v>47</v>
      </c>
      <c r="AV84" s="31">
        <v>48</v>
      </c>
      <c r="AW84" s="27">
        <v>49</v>
      </c>
      <c r="AX84" s="27">
        <v>50</v>
      </c>
      <c r="AY84" s="31">
        <v>51</v>
      </c>
      <c r="AZ84" s="27">
        <v>52</v>
      </c>
      <c r="BA84" s="27">
        <v>53</v>
      </c>
      <c r="BB84" s="31">
        <v>54</v>
      </c>
      <c r="BC84" s="27">
        <v>55</v>
      </c>
      <c r="BD84" s="27">
        <v>56</v>
      </c>
      <c r="BE84" s="31">
        <v>57</v>
      </c>
      <c r="BF84" s="27">
        <v>58</v>
      </c>
      <c r="BG84" s="27">
        <v>59</v>
      </c>
      <c r="BH84" s="31">
        <v>60</v>
      </c>
      <c r="BI84" s="27">
        <v>61</v>
      </c>
      <c r="BJ84" s="27">
        <v>62</v>
      </c>
      <c r="BK84" s="31">
        <v>63</v>
      </c>
      <c r="BL84" s="27">
        <v>64</v>
      </c>
      <c r="BM84" s="27">
        <v>65</v>
      </c>
      <c r="BN84" s="31">
        <v>66</v>
      </c>
      <c r="BO84" s="27">
        <v>67</v>
      </c>
      <c r="BP84" s="27">
        <v>68</v>
      </c>
      <c r="BQ84" s="31">
        <v>69</v>
      </c>
      <c r="BR84" s="27">
        <v>70</v>
      </c>
      <c r="BS84" s="27">
        <v>71</v>
      </c>
      <c r="BT84" s="31">
        <v>72</v>
      </c>
      <c r="BU84" s="27">
        <v>73</v>
      </c>
      <c r="BV84" s="27">
        <v>74</v>
      </c>
      <c r="BW84" s="31">
        <v>75</v>
      </c>
      <c r="BX84" s="27">
        <v>76</v>
      </c>
      <c r="BY84" s="27">
        <v>77</v>
      </c>
      <c r="BZ84" s="31">
        <v>78</v>
      </c>
    </row>
    <row r="86" spans="1:78" x14ac:dyDescent="0.3"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33"/>
      <c r="BZ86" s="27"/>
    </row>
  </sheetData>
  <sheetProtection algorithmName="SHA-512" hashValue="xtPuNg2pt0eXRzJnhIVBK5Eesd/+pXD8ANCktY4+X6/p5G2ye7dov6qafPNT9cfrbnp0FC1W9o19y3b8Y2Iw5Q==" saltValue="18R+Kznu/ipssgwHGSF6Hg==" spinCount="100000" sheet="1" objects="1" scenarios="1"/>
  <phoneticPr fontId="15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CA2A-6962-4D24-8249-2118243E95E1}">
  <dimension ref="A1:FG3"/>
  <sheetViews>
    <sheetView workbookViewId="0"/>
  </sheetViews>
  <sheetFormatPr baseColWidth="10" defaultColWidth="11.44140625" defaultRowHeight="13.8" x14ac:dyDescent="0.3"/>
  <cols>
    <col min="1" max="1" width="9.109375" style="29" bestFit="1" customWidth="1"/>
    <col min="2" max="2" width="12.109375" style="29" bestFit="1" customWidth="1"/>
    <col min="3" max="3" width="12.33203125" style="29" bestFit="1" customWidth="1"/>
    <col min="4" max="4" width="18.33203125" style="29" bestFit="1" customWidth="1"/>
    <col min="5" max="5" width="18.44140625" style="29" bestFit="1" customWidth="1"/>
    <col min="6" max="6" width="19.88671875" style="29" bestFit="1" customWidth="1"/>
    <col min="7" max="7" width="19.5546875" style="29" bestFit="1" customWidth="1"/>
    <col min="8" max="8" width="12.5546875" style="29" bestFit="1" customWidth="1"/>
    <col min="9" max="9" width="12.6640625" style="29" bestFit="1" customWidth="1"/>
    <col min="10" max="10" width="14.44140625" style="29" bestFit="1" customWidth="1"/>
    <col min="11" max="11" width="15.44140625" style="29" bestFit="1" customWidth="1"/>
    <col min="12" max="12" width="14.44140625" style="29" bestFit="1" customWidth="1"/>
    <col min="13" max="13" width="15.44140625" style="29" bestFit="1" customWidth="1"/>
    <col min="14" max="14" width="13.88671875" style="29" bestFit="1" customWidth="1"/>
    <col min="15" max="15" width="14.88671875" style="29" bestFit="1" customWidth="1"/>
    <col min="16" max="16" width="13.6640625" style="29" bestFit="1" customWidth="1"/>
    <col min="17" max="17" width="14.6640625" style="29" bestFit="1" customWidth="1"/>
    <col min="18" max="18" width="13.33203125" style="29" bestFit="1" customWidth="1"/>
    <col min="19" max="19" width="17.33203125" style="29" bestFit="1" customWidth="1"/>
    <col min="20" max="20" width="13.6640625" style="29" bestFit="1" customWidth="1"/>
    <col min="21" max="21" width="12.109375" style="29" bestFit="1" customWidth="1"/>
    <col min="22" max="22" width="12.33203125" style="29" bestFit="1" customWidth="1"/>
    <col min="23" max="23" width="18.33203125" style="29" bestFit="1" customWidth="1"/>
    <col min="24" max="24" width="18.44140625" style="29" bestFit="1" customWidth="1"/>
    <col min="25" max="25" width="19.88671875" style="29" bestFit="1" customWidth="1"/>
    <col min="26" max="26" width="19.5546875" style="29" bestFit="1" customWidth="1"/>
    <col min="27" max="27" width="12.5546875" style="29" bestFit="1" customWidth="1"/>
    <col min="28" max="28" width="12.6640625" style="29" bestFit="1" customWidth="1"/>
    <col min="29" max="29" width="14.44140625" style="29" bestFit="1" customWidth="1"/>
    <col min="30" max="30" width="15.44140625" style="29" bestFit="1" customWidth="1"/>
    <col min="31" max="31" width="14.44140625" style="29" bestFit="1" customWidth="1"/>
    <col min="32" max="32" width="15.44140625" style="29" bestFit="1" customWidth="1"/>
    <col min="33" max="33" width="13.88671875" style="29" bestFit="1" customWidth="1"/>
    <col min="34" max="34" width="14.88671875" style="29" bestFit="1" customWidth="1"/>
    <col min="35" max="35" width="13.6640625" style="29" bestFit="1" customWidth="1"/>
    <col min="36" max="36" width="14.6640625" style="29" bestFit="1" customWidth="1"/>
    <col min="37" max="37" width="13.33203125" style="29" bestFit="1" customWidth="1"/>
    <col min="38" max="38" width="17.33203125" style="29" bestFit="1" customWidth="1"/>
    <col min="39" max="39" width="13.6640625" style="29" bestFit="1" customWidth="1"/>
    <col min="40" max="40" width="11.5546875" style="29" bestFit="1" customWidth="1"/>
    <col min="41" max="41" width="11.6640625" style="29" bestFit="1" customWidth="1"/>
    <col min="42" max="42" width="17.6640625" style="29" bestFit="1" customWidth="1"/>
    <col min="43" max="43" width="17.88671875" style="29" bestFit="1" customWidth="1"/>
    <col min="44" max="44" width="19.33203125" style="29" bestFit="1" customWidth="1"/>
    <col min="45" max="45" width="19" style="29" bestFit="1" customWidth="1"/>
    <col min="46" max="46" width="12" style="29" bestFit="1" customWidth="1"/>
    <col min="47" max="47" width="12.109375" style="29" bestFit="1" customWidth="1"/>
    <col min="48" max="48" width="13.88671875" style="29" bestFit="1" customWidth="1"/>
    <col min="49" max="49" width="14.88671875" style="29" bestFit="1" customWidth="1"/>
    <col min="50" max="50" width="13.88671875" style="29" bestFit="1" customWidth="1"/>
    <col min="51" max="51" width="14.88671875" style="29" bestFit="1" customWidth="1"/>
    <col min="52" max="52" width="13.33203125" style="29" bestFit="1" customWidth="1"/>
    <col min="53" max="53" width="14.33203125" style="29" bestFit="1" customWidth="1"/>
    <col min="54" max="54" width="13.109375" style="29" bestFit="1" customWidth="1"/>
    <col min="55" max="55" width="14.109375" style="29" bestFit="1" customWidth="1"/>
    <col min="56" max="56" width="12.6640625" style="29" bestFit="1" customWidth="1"/>
    <col min="57" max="57" width="16.6640625" style="29" bestFit="1" customWidth="1"/>
    <col min="58" max="58" width="13.109375" style="29" bestFit="1" customWidth="1"/>
    <col min="59" max="59" width="11.44140625" style="29"/>
    <col min="60" max="60" width="11.5546875" style="29" bestFit="1" customWidth="1"/>
    <col min="61" max="61" width="17.5546875" style="29" bestFit="1" customWidth="1"/>
    <col min="62" max="62" width="17.6640625" style="29" bestFit="1" customWidth="1"/>
    <col min="63" max="63" width="19.109375" style="29" bestFit="1" customWidth="1"/>
    <col min="64" max="64" width="18.88671875" style="29" bestFit="1" customWidth="1"/>
    <col min="65" max="65" width="11.88671875" style="29" bestFit="1" customWidth="1"/>
    <col min="66" max="66" width="12" style="29" bestFit="1" customWidth="1"/>
    <col min="67" max="67" width="13.6640625" style="29" bestFit="1" customWidth="1"/>
    <col min="68" max="68" width="14.6640625" style="29" bestFit="1" customWidth="1"/>
    <col min="69" max="69" width="13.6640625" style="29" bestFit="1" customWidth="1"/>
    <col min="70" max="70" width="14.6640625" style="29" bestFit="1" customWidth="1"/>
    <col min="71" max="71" width="13.109375" style="29" bestFit="1" customWidth="1"/>
    <col min="72" max="72" width="14.109375" style="29" bestFit="1" customWidth="1"/>
    <col min="73" max="73" width="13" style="29" bestFit="1" customWidth="1"/>
    <col min="74" max="74" width="14" style="29" bestFit="1" customWidth="1"/>
    <col min="75" max="75" width="12.5546875" style="29" bestFit="1" customWidth="1"/>
    <col min="76" max="76" width="16.5546875" style="29" bestFit="1" customWidth="1"/>
    <col min="77" max="77" width="13" style="29" bestFit="1" customWidth="1"/>
    <col min="78" max="78" width="15" style="29" bestFit="1" customWidth="1"/>
    <col min="79" max="79" width="15.109375" style="29" bestFit="1" customWidth="1"/>
    <col min="80" max="80" width="15.44140625" style="29" bestFit="1" customWidth="1"/>
    <col min="81" max="81" width="15.5546875" style="29" bestFit="1" customWidth="1"/>
    <col min="82" max="82" width="10" style="29" bestFit="1" customWidth="1"/>
    <col min="83" max="83" width="11.109375" style="29" bestFit="1" customWidth="1"/>
    <col min="84" max="84" width="14.5546875" style="29" bestFit="1" customWidth="1"/>
    <col min="85" max="85" width="15.109375" style="29" bestFit="1" customWidth="1"/>
    <col min="86" max="87" width="14.33203125" style="29" bestFit="1" customWidth="1"/>
    <col min="88" max="88" width="13.6640625" style="29" bestFit="1" customWidth="1"/>
    <col min="89" max="89" width="13.5546875" style="29" bestFit="1" customWidth="1"/>
    <col min="90" max="90" width="15.5546875" style="29" bestFit="1" customWidth="1"/>
    <col min="91" max="91" width="15.6640625" style="29" bestFit="1" customWidth="1"/>
    <col min="92" max="92" width="13.109375" style="29" bestFit="1" customWidth="1"/>
    <col min="93" max="94" width="19.33203125" style="29" bestFit="1" customWidth="1"/>
    <col min="95" max="95" width="18.6640625" style="29" bestFit="1" customWidth="1"/>
    <col min="96" max="96" width="18.5546875" style="29" bestFit="1" customWidth="1"/>
    <col min="97" max="97" width="8.44140625" style="29" bestFit="1" customWidth="1"/>
    <col min="98" max="98" width="12.44140625" style="29" bestFit="1" customWidth="1"/>
    <col min="99" max="99" width="12.5546875" style="29" bestFit="1" customWidth="1"/>
    <col min="100" max="100" width="12.88671875" style="29" bestFit="1" customWidth="1"/>
    <col min="101" max="101" width="13" style="29" bestFit="1" customWidth="1"/>
    <col min="102" max="103" width="15.6640625" style="29" bestFit="1" customWidth="1"/>
    <col min="104" max="104" width="15.109375" style="29" bestFit="1" customWidth="1"/>
    <col min="105" max="105" width="15" style="29" bestFit="1" customWidth="1"/>
    <col min="106" max="106" width="8.44140625" style="29" bestFit="1" customWidth="1"/>
    <col min="107" max="107" width="12.44140625" style="29" bestFit="1" customWidth="1"/>
    <col min="108" max="108" width="12.5546875" style="29" bestFit="1" customWidth="1"/>
    <col min="109" max="109" width="12.88671875" style="29" bestFit="1" customWidth="1"/>
    <col min="110" max="110" width="13" style="29" bestFit="1" customWidth="1"/>
    <col min="111" max="112" width="15.6640625" style="29" bestFit="1" customWidth="1"/>
    <col min="113" max="113" width="15.109375" style="29" bestFit="1" customWidth="1"/>
    <col min="114" max="114" width="15" style="29" bestFit="1" customWidth="1"/>
    <col min="115" max="115" width="8.44140625" style="29" bestFit="1" customWidth="1"/>
    <col min="116" max="116" width="12.44140625" style="29" bestFit="1" customWidth="1"/>
    <col min="117" max="117" width="12.5546875" style="29" bestFit="1" customWidth="1"/>
    <col min="118" max="118" width="12.88671875" style="29" bestFit="1" customWidth="1"/>
    <col min="119" max="119" width="13" style="29" bestFit="1" customWidth="1"/>
    <col min="120" max="121" width="15.6640625" style="29" bestFit="1" customWidth="1"/>
    <col min="122" max="122" width="15.109375" style="29" bestFit="1" customWidth="1"/>
    <col min="123" max="123" width="15" style="29" bestFit="1" customWidth="1"/>
    <col min="124" max="124" width="8.44140625" style="29" bestFit="1" customWidth="1"/>
    <col min="125" max="125" width="12.44140625" style="29" bestFit="1" customWidth="1"/>
    <col min="126" max="126" width="12.5546875" style="29" bestFit="1" customWidth="1"/>
    <col min="127" max="127" width="12.88671875" style="29" bestFit="1" customWidth="1"/>
    <col min="128" max="128" width="13" style="29" bestFit="1" customWidth="1"/>
    <col min="129" max="130" width="15.6640625" style="29" bestFit="1" customWidth="1"/>
    <col min="131" max="131" width="15.109375" style="29" bestFit="1" customWidth="1"/>
    <col min="132" max="132" width="15" style="29" bestFit="1" customWidth="1"/>
    <col min="133" max="133" width="8.44140625" style="29" bestFit="1" customWidth="1"/>
    <col min="134" max="134" width="12.44140625" style="29" bestFit="1" customWidth="1"/>
    <col min="135" max="135" width="12.5546875" style="29" bestFit="1" customWidth="1"/>
    <col min="136" max="136" width="12.88671875" style="29" bestFit="1" customWidth="1"/>
    <col min="137" max="137" width="13" style="29" bestFit="1" customWidth="1"/>
    <col min="138" max="139" width="15.6640625" style="29" bestFit="1" customWidth="1"/>
    <col min="140" max="140" width="15.109375" style="29" bestFit="1" customWidth="1"/>
    <col min="141" max="141" width="15" style="29" bestFit="1" customWidth="1"/>
    <col min="142" max="142" width="14.5546875" style="29" bestFit="1" customWidth="1"/>
    <col min="143" max="143" width="15.88671875" style="29" bestFit="1" customWidth="1"/>
    <col min="144" max="144" width="14.5546875" style="29" bestFit="1" customWidth="1"/>
    <col min="145" max="145" width="15.88671875" style="29" bestFit="1" customWidth="1"/>
    <col min="146" max="146" width="14" style="29" bestFit="1" customWidth="1"/>
    <col min="147" max="147" width="15.33203125" style="29" bestFit="1" customWidth="1"/>
    <col min="148" max="148" width="13.88671875" style="29" bestFit="1" customWidth="1"/>
    <col min="149" max="149" width="15.109375" style="29" bestFit="1" customWidth="1"/>
    <col min="150" max="150" width="13.44140625" style="29" bestFit="1" customWidth="1"/>
    <col min="151" max="151" width="14.6640625" style="29" bestFit="1" customWidth="1"/>
    <col min="152" max="152" width="19" style="29" bestFit="1" customWidth="1"/>
    <col min="153" max="153" width="11.88671875" style="29" bestFit="1" customWidth="1"/>
    <col min="154" max="154" width="9.88671875" style="29" bestFit="1" customWidth="1"/>
    <col min="155" max="155" width="8.88671875" style="29" bestFit="1" customWidth="1"/>
    <col min="156" max="156" width="9.44140625" style="29" bestFit="1" customWidth="1"/>
    <col min="157" max="157" width="11.33203125" style="29" bestFit="1" customWidth="1"/>
    <col min="158" max="158" width="8.88671875" style="29" bestFit="1" customWidth="1"/>
    <col min="159" max="160" width="15.88671875" style="29" bestFit="1" customWidth="1"/>
    <col min="161" max="161" width="20.5546875" style="29" bestFit="1" customWidth="1"/>
    <col min="162" max="163" width="15.88671875" style="29" bestFit="1" customWidth="1"/>
    <col min="164" max="16384" width="11.44140625" style="29"/>
  </cols>
  <sheetData>
    <row r="1" spans="1:163" x14ac:dyDescent="0.3">
      <c r="A1" s="29" t="s">
        <v>577</v>
      </c>
      <c r="B1" s="29" t="s">
        <v>578</v>
      </c>
      <c r="C1" s="29" t="s">
        <v>579</v>
      </c>
      <c r="D1" s="29" t="s">
        <v>580</v>
      </c>
      <c r="E1" s="29" t="s">
        <v>581</v>
      </c>
      <c r="F1" s="29" t="s">
        <v>582</v>
      </c>
      <c r="G1" s="29" t="s">
        <v>583</v>
      </c>
      <c r="H1" s="29" t="s">
        <v>584</v>
      </c>
      <c r="I1" s="29" t="s">
        <v>585</v>
      </c>
      <c r="J1" s="29" t="s">
        <v>586</v>
      </c>
      <c r="K1" s="29" t="s">
        <v>587</v>
      </c>
      <c r="L1" s="29" t="s">
        <v>588</v>
      </c>
      <c r="M1" s="29" t="s">
        <v>589</v>
      </c>
      <c r="N1" s="29" t="s">
        <v>590</v>
      </c>
      <c r="O1" s="29" t="s">
        <v>591</v>
      </c>
      <c r="P1" s="29" t="s">
        <v>592</v>
      </c>
      <c r="Q1" s="29" t="s">
        <v>593</v>
      </c>
      <c r="R1" s="29" t="s">
        <v>594</v>
      </c>
      <c r="S1" s="29" t="s">
        <v>595</v>
      </c>
      <c r="T1" s="29" t="s">
        <v>596</v>
      </c>
      <c r="U1" s="29" t="s">
        <v>597</v>
      </c>
      <c r="V1" s="29" t="s">
        <v>598</v>
      </c>
      <c r="W1" s="29" t="s">
        <v>599</v>
      </c>
      <c r="X1" s="29" t="s">
        <v>600</v>
      </c>
      <c r="Y1" s="29" t="s">
        <v>601</v>
      </c>
      <c r="Z1" s="29" t="s">
        <v>602</v>
      </c>
      <c r="AA1" s="29" t="s">
        <v>603</v>
      </c>
      <c r="AB1" s="29" t="s">
        <v>604</v>
      </c>
      <c r="AC1" s="29" t="s">
        <v>642</v>
      </c>
      <c r="AD1" s="29" t="s">
        <v>643</v>
      </c>
      <c r="AE1" s="29" t="s">
        <v>605</v>
      </c>
      <c r="AF1" s="29" t="s">
        <v>606</v>
      </c>
      <c r="AG1" s="29" t="s">
        <v>607</v>
      </c>
      <c r="AH1" s="29" t="s">
        <v>608</v>
      </c>
      <c r="AI1" s="29" t="s">
        <v>609</v>
      </c>
      <c r="AJ1" s="29" t="s">
        <v>610</v>
      </c>
      <c r="AK1" s="29" t="s">
        <v>611</v>
      </c>
      <c r="AL1" s="29" t="s">
        <v>612</v>
      </c>
      <c r="AM1" s="29" t="s">
        <v>613</v>
      </c>
      <c r="AN1" s="29" t="s">
        <v>614</v>
      </c>
      <c r="AO1" s="29" t="s">
        <v>615</v>
      </c>
      <c r="AP1" s="29" t="s">
        <v>616</v>
      </c>
      <c r="AQ1" s="29" t="s">
        <v>617</v>
      </c>
      <c r="AR1" s="29" t="s">
        <v>618</v>
      </c>
      <c r="AS1" s="29" t="s">
        <v>619</v>
      </c>
      <c r="AT1" s="29" t="s">
        <v>620</v>
      </c>
      <c r="AU1" s="29" t="s">
        <v>621</v>
      </c>
      <c r="AV1" s="29" t="s">
        <v>644</v>
      </c>
      <c r="AW1" s="29" t="s">
        <v>645</v>
      </c>
      <c r="AX1" s="29" t="s">
        <v>646</v>
      </c>
      <c r="AY1" s="29" t="s">
        <v>647</v>
      </c>
      <c r="AZ1" s="29" t="s">
        <v>622</v>
      </c>
      <c r="BA1" s="29" t="s">
        <v>623</v>
      </c>
      <c r="BB1" s="29" t="s">
        <v>624</v>
      </c>
      <c r="BC1" s="29" t="s">
        <v>625</v>
      </c>
      <c r="BD1" s="29" t="s">
        <v>626</v>
      </c>
      <c r="BE1" s="29" t="s">
        <v>627</v>
      </c>
      <c r="BF1" s="29" t="s">
        <v>628</v>
      </c>
      <c r="BG1" s="29" t="s">
        <v>629</v>
      </c>
      <c r="BH1" s="29" t="s">
        <v>630</v>
      </c>
      <c r="BI1" s="29" t="s">
        <v>631</v>
      </c>
      <c r="BJ1" s="29" t="s">
        <v>632</v>
      </c>
      <c r="BK1" s="29" t="s">
        <v>633</v>
      </c>
      <c r="BL1" s="29" t="s">
        <v>634</v>
      </c>
      <c r="BM1" s="29" t="s">
        <v>635</v>
      </c>
      <c r="BN1" s="29" t="s">
        <v>636</v>
      </c>
      <c r="BO1" s="29" t="s">
        <v>648</v>
      </c>
      <c r="BP1" s="29" t="s">
        <v>649</v>
      </c>
      <c r="BQ1" s="29" t="s">
        <v>650</v>
      </c>
      <c r="BR1" s="29" t="s">
        <v>651</v>
      </c>
      <c r="BS1" s="29" t="s">
        <v>652</v>
      </c>
      <c r="BT1" s="29" t="s">
        <v>653</v>
      </c>
      <c r="BU1" s="29" t="s">
        <v>637</v>
      </c>
      <c r="BV1" s="29" t="s">
        <v>638</v>
      </c>
      <c r="BW1" s="29" t="s">
        <v>639</v>
      </c>
      <c r="BX1" s="29" t="s">
        <v>640</v>
      </c>
      <c r="BY1" s="29" t="s">
        <v>641</v>
      </c>
      <c r="BZ1" s="29" t="s">
        <v>654</v>
      </c>
      <c r="CA1" s="29" t="s">
        <v>655</v>
      </c>
      <c r="CB1" s="29" t="s">
        <v>656</v>
      </c>
      <c r="CC1" s="29" t="s">
        <v>657</v>
      </c>
      <c r="CD1" s="29" t="s">
        <v>658</v>
      </c>
      <c r="CE1" s="29" t="s">
        <v>659</v>
      </c>
      <c r="CF1" s="29" t="s">
        <v>660</v>
      </c>
      <c r="CG1" s="29" t="s">
        <v>661</v>
      </c>
      <c r="CH1" s="29" t="s">
        <v>662</v>
      </c>
      <c r="CI1" s="29" t="s">
        <v>663</v>
      </c>
      <c r="CJ1" s="29" t="s">
        <v>664</v>
      </c>
      <c r="CK1" s="29" t="s">
        <v>665</v>
      </c>
      <c r="CL1" s="29" t="s">
        <v>666</v>
      </c>
      <c r="CM1" s="29" t="s">
        <v>667</v>
      </c>
      <c r="CN1" s="29" t="s">
        <v>668</v>
      </c>
      <c r="CO1" s="29" t="s">
        <v>669</v>
      </c>
      <c r="CP1" s="29" t="s">
        <v>670</v>
      </c>
      <c r="CQ1" s="29" t="s">
        <v>671</v>
      </c>
      <c r="CR1" s="29" t="s">
        <v>672</v>
      </c>
      <c r="CS1" s="29" t="s">
        <v>689</v>
      </c>
      <c r="CT1" s="29" t="s">
        <v>673</v>
      </c>
      <c r="CU1" s="29" t="s">
        <v>674</v>
      </c>
      <c r="CV1" s="29" t="s">
        <v>675</v>
      </c>
      <c r="CW1" s="29" t="s">
        <v>676</v>
      </c>
      <c r="CX1" s="29" t="s">
        <v>677</v>
      </c>
      <c r="CY1" s="29" t="s">
        <v>678</v>
      </c>
      <c r="CZ1" s="29" t="s">
        <v>679</v>
      </c>
      <c r="DA1" s="29" t="s">
        <v>680</v>
      </c>
      <c r="DB1" s="29" t="s">
        <v>690</v>
      </c>
      <c r="DC1" s="29" t="s">
        <v>681</v>
      </c>
      <c r="DD1" s="29" t="s">
        <v>682</v>
      </c>
      <c r="DE1" s="29" t="s">
        <v>683</v>
      </c>
      <c r="DF1" s="29" t="s">
        <v>684</v>
      </c>
      <c r="DG1" s="29" t="s">
        <v>685</v>
      </c>
      <c r="DH1" s="29" t="s">
        <v>686</v>
      </c>
      <c r="DI1" s="29" t="s">
        <v>687</v>
      </c>
      <c r="DJ1" s="29" t="s">
        <v>688</v>
      </c>
      <c r="DK1" s="29" t="s">
        <v>691</v>
      </c>
      <c r="DL1" s="29" t="s">
        <v>692</v>
      </c>
      <c r="DM1" s="29" t="s">
        <v>693</v>
      </c>
      <c r="DN1" s="29" t="s">
        <v>694</v>
      </c>
      <c r="DO1" s="29" t="s">
        <v>695</v>
      </c>
      <c r="DP1" s="29" t="s">
        <v>696</v>
      </c>
      <c r="DQ1" s="29" t="s">
        <v>697</v>
      </c>
      <c r="DR1" s="29" t="s">
        <v>698</v>
      </c>
      <c r="DS1" s="29" t="s">
        <v>699</v>
      </c>
      <c r="DT1" s="29" t="s">
        <v>700</v>
      </c>
      <c r="DU1" s="29" t="s">
        <v>701</v>
      </c>
      <c r="DV1" s="29" t="s">
        <v>702</v>
      </c>
      <c r="DW1" s="29" t="s">
        <v>703</v>
      </c>
      <c r="DX1" s="29" t="s">
        <v>704</v>
      </c>
      <c r="DY1" s="29" t="s">
        <v>705</v>
      </c>
      <c r="DZ1" s="29" t="s">
        <v>706</v>
      </c>
      <c r="EA1" s="29" t="s">
        <v>707</v>
      </c>
      <c r="EB1" s="29" t="s">
        <v>708</v>
      </c>
      <c r="EC1" s="29" t="s">
        <v>709</v>
      </c>
      <c r="ED1" s="29" t="s">
        <v>710</v>
      </c>
      <c r="EE1" s="29" t="s">
        <v>711</v>
      </c>
      <c r="EF1" s="29" t="s">
        <v>712</v>
      </c>
      <c r="EG1" s="29" t="s">
        <v>713</v>
      </c>
      <c r="EH1" s="29" t="s">
        <v>714</v>
      </c>
      <c r="EI1" s="29" t="s">
        <v>715</v>
      </c>
      <c r="EJ1" s="29" t="s">
        <v>716</v>
      </c>
      <c r="EK1" s="29" t="s">
        <v>717</v>
      </c>
      <c r="EL1" s="29" t="s">
        <v>718</v>
      </c>
      <c r="EM1" s="29" t="s">
        <v>719</v>
      </c>
      <c r="EN1" s="29" t="s">
        <v>720</v>
      </c>
      <c r="EO1" s="29" t="s">
        <v>721</v>
      </c>
      <c r="EP1" s="29" t="s">
        <v>722</v>
      </c>
      <c r="EQ1" s="29" t="s">
        <v>723</v>
      </c>
      <c r="ER1" s="29" t="s">
        <v>724</v>
      </c>
      <c r="ES1" s="29" t="s">
        <v>725</v>
      </c>
      <c r="ET1" s="29" t="s">
        <v>726</v>
      </c>
      <c r="EU1" s="29" t="s">
        <v>727</v>
      </c>
      <c r="EV1" s="29" t="s">
        <v>728</v>
      </c>
      <c r="EW1" s="29" t="s">
        <v>729</v>
      </c>
      <c r="EX1" s="29" t="s">
        <v>730</v>
      </c>
      <c r="EY1" s="29" t="s">
        <v>731</v>
      </c>
      <c r="EZ1" s="29" t="s">
        <v>732</v>
      </c>
      <c r="FA1" s="29" t="s">
        <v>733</v>
      </c>
      <c r="FB1" s="29" t="s">
        <v>734</v>
      </c>
      <c r="FC1" s="29" t="s">
        <v>735</v>
      </c>
      <c r="FD1" s="29" t="s">
        <v>736</v>
      </c>
      <c r="FE1" s="29" t="s">
        <v>737</v>
      </c>
      <c r="FF1" s="29" t="s">
        <v>738</v>
      </c>
      <c r="FG1" s="29" t="s">
        <v>739</v>
      </c>
    </row>
    <row r="2" spans="1:163" x14ac:dyDescent="0.3">
      <c r="A2" s="29" t="str">
        <f>Dateneingabe!C2</f>
        <v>&lt;-- Bitte Erasmus Code auswählen --&gt;</v>
      </c>
      <c r="B2" s="29">
        <f>Dateneingabe!G5</f>
        <v>0</v>
      </c>
      <c r="C2" s="29">
        <f>Dateneingabe!H5</f>
        <v>0</v>
      </c>
      <c r="D2" s="29">
        <f>Dateneingabe!G6</f>
        <v>0</v>
      </c>
      <c r="E2" s="29">
        <f>Dateneingabe!H6</f>
        <v>0</v>
      </c>
      <c r="F2" s="29">
        <f>Dateneingabe!G7</f>
        <v>0</v>
      </c>
      <c r="G2" s="29">
        <f>Dateneingabe!H7</f>
        <v>0</v>
      </c>
      <c r="H2" s="39">
        <f>Dateneingabe!G8</f>
        <v>0</v>
      </c>
      <c r="I2" s="39">
        <f>Dateneingabe!H8</f>
        <v>0</v>
      </c>
      <c r="J2" s="39">
        <f>Dateneingabe!M8</f>
        <v>0</v>
      </c>
      <c r="K2" s="39">
        <f>Dateneingabe!N8</f>
        <v>0</v>
      </c>
      <c r="L2" s="39">
        <f>Dateneingabe!O8</f>
        <v>0</v>
      </c>
      <c r="M2" s="39">
        <f>Dateneingabe!P8</f>
        <v>0</v>
      </c>
      <c r="N2" s="39">
        <f>Dateneingabe!Q8</f>
        <v>0</v>
      </c>
      <c r="O2" s="39">
        <f>Dateneingabe!R8</f>
        <v>0</v>
      </c>
      <c r="P2" s="39">
        <f>Dateneingabe!S8</f>
        <v>0</v>
      </c>
      <c r="Q2" s="39">
        <f>Dateneingabe!T8</f>
        <v>0</v>
      </c>
      <c r="R2" s="39">
        <f>Dateneingabe!U8</f>
        <v>0</v>
      </c>
      <c r="S2" s="39">
        <f>Dateneingabe!V8</f>
        <v>0</v>
      </c>
      <c r="T2" s="39">
        <f>Dateneingabe!W8</f>
        <v>0</v>
      </c>
      <c r="U2" s="29">
        <f>Dateneingabe!G10</f>
        <v>0</v>
      </c>
      <c r="V2" s="29">
        <f>Dateneingabe!H10</f>
        <v>0</v>
      </c>
      <c r="W2" s="29">
        <f>Dateneingabe!G11</f>
        <v>0</v>
      </c>
      <c r="X2" s="29">
        <f>Dateneingabe!H11</f>
        <v>0</v>
      </c>
      <c r="Y2" s="29">
        <f>Dateneingabe!G12</f>
        <v>0</v>
      </c>
      <c r="Z2" s="29">
        <f>Dateneingabe!H12</f>
        <v>0</v>
      </c>
      <c r="AA2" s="39">
        <f>Dateneingabe!G13</f>
        <v>0</v>
      </c>
      <c r="AB2" s="39">
        <f>Dateneingabe!H13</f>
        <v>0</v>
      </c>
      <c r="AC2" s="39">
        <f>Dateneingabe!M13</f>
        <v>0</v>
      </c>
      <c r="AD2" s="39">
        <f>Dateneingabe!N13</f>
        <v>0</v>
      </c>
      <c r="AE2" s="39">
        <f>Dateneingabe!O13</f>
        <v>0</v>
      </c>
      <c r="AF2" s="39">
        <f>Dateneingabe!P13</f>
        <v>0</v>
      </c>
      <c r="AG2" s="39">
        <f>Dateneingabe!Q13</f>
        <v>0</v>
      </c>
      <c r="AH2" s="39">
        <f>Dateneingabe!R13</f>
        <v>0</v>
      </c>
      <c r="AI2" s="39">
        <f>Dateneingabe!S13</f>
        <v>0</v>
      </c>
      <c r="AJ2" s="39">
        <f>Dateneingabe!T13</f>
        <v>0</v>
      </c>
      <c r="AK2" s="39">
        <f>Dateneingabe!U13</f>
        <v>0</v>
      </c>
      <c r="AL2" s="39">
        <f>Dateneingabe!V13</f>
        <v>0</v>
      </c>
      <c r="AM2" s="39">
        <f>Dateneingabe!W13</f>
        <v>0</v>
      </c>
      <c r="AN2" s="29">
        <f>Dateneingabe!G20</f>
        <v>0</v>
      </c>
      <c r="AO2" s="29">
        <f>Dateneingabe!H20</f>
        <v>0</v>
      </c>
      <c r="AP2" s="29">
        <f>Dateneingabe!G21</f>
        <v>0</v>
      </c>
      <c r="AQ2" s="29">
        <f>Dateneingabe!H21</f>
        <v>0</v>
      </c>
      <c r="AR2" s="29">
        <f>Dateneingabe!G22</f>
        <v>0</v>
      </c>
      <c r="AS2" s="29">
        <f>Dateneingabe!H22</f>
        <v>0</v>
      </c>
      <c r="AT2" s="39">
        <f>Dateneingabe!G23</f>
        <v>0</v>
      </c>
      <c r="AU2" s="39">
        <f>Dateneingabe!H23</f>
        <v>0</v>
      </c>
      <c r="AV2" s="39">
        <f>Dateneingabe!M23</f>
        <v>0</v>
      </c>
      <c r="AW2" s="39">
        <f>Dateneingabe!N23</f>
        <v>0</v>
      </c>
      <c r="AX2" s="39">
        <f>Dateneingabe!O23</f>
        <v>0</v>
      </c>
      <c r="AY2" s="39">
        <f>Dateneingabe!P23</f>
        <v>0</v>
      </c>
      <c r="AZ2" s="39">
        <f>Dateneingabe!Q23</f>
        <v>0</v>
      </c>
      <c r="BA2" s="39">
        <f>Dateneingabe!R23</f>
        <v>0</v>
      </c>
      <c r="BB2" s="39">
        <f>Dateneingabe!S23</f>
        <v>0</v>
      </c>
      <c r="BC2" s="39">
        <f>Dateneingabe!T23</f>
        <v>0</v>
      </c>
      <c r="BD2" s="39">
        <f>Dateneingabe!U23</f>
        <v>0</v>
      </c>
      <c r="BE2" s="39">
        <f>Dateneingabe!V23</f>
        <v>0</v>
      </c>
      <c r="BF2" s="39">
        <f>Dateneingabe!W23</f>
        <v>0</v>
      </c>
      <c r="BG2" s="29">
        <f>Dateneingabe!G25</f>
        <v>0</v>
      </c>
      <c r="BH2" s="29">
        <f>Dateneingabe!H25</f>
        <v>0</v>
      </c>
      <c r="BI2" s="29">
        <f>Dateneingabe!G26</f>
        <v>0</v>
      </c>
      <c r="BJ2" s="29">
        <f>Dateneingabe!H26</f>
        <v>0</v>
      </c>
      <c r="BK2" s="29">
        <f>Dateneingabe!G27</f>
        <v>0</v>
      </c>
      <c r="BL2" s="29">
        <f>Dateneingabe!H27</f>
        <v>0</v>
      </c>
      <c r="BM2" s="39">
        <f>Dateneingabe!G28</f>
        <v>0</v>
      </c>
      <c r="BN2" s="39">
        <f>Dateneingabe!H28</f>
        <v>0</v>
      </c>
      <c r="BO2" s="39">
        <f>Dateneingabe!M28</f>
        <v>0</v>
      </c>
      <c r="BP2" s="39">
        <f>Dateneingabe!N28</f>
        <v>0</v>
      </c>
      <c r="BQ2" s="39">
        <f>Dateneingabe!O28</f>
        <v>0</v>
      </c>
      <c r="BR2" s="39">
        <f>Dateneingabe!P28</f>
        <v>0</v>
      </c>
      <c r="BS2" s="39">
        <f>Dateneingabe!Q28</f>
        <v>0</v>
      </c>
      <c r="BT2" s="39">
        <f>Dateneingabe!R28</f>
        <v>0</v>
      </c>
      <c r="BU2" s="39">
        <f>Dateneingabe!S28</f>
        <v>0</v>
      </c>
      <c r="BV2" s="39">
        <f>Dateneingabe!T28</f>
        <v>0</v>
      </c>
      <c r="BW2" s="39">
        <f>Dateneingabe!U28</f>
        <v>0</v>
      </c>
      <c r="BX2" s="39">
        <f>Dateneingabe!V28</f>
        <v>0</v>
      </c>
      <c r="BY2" s="39">
        <f>Dateneingabe!W28</f>
        <v>0</v>
      </c>
      <c r="BZ2" s="29">
        <f>Dateneingabe!G35</f>
        <v>0</v>
      </c>
      <c r="CA2" s="29">
        <f>Dateneingabe!H35</f>
        <v>0</v>
      </c>
      <c r="CB2" s="39">
        <f>Dateneingabe!G36</f>
        <v>0</v>
      </c>
      <c r="CC2" s="39">
        <f>Dateneingabe!H36</f>
        <v>0</v>
      </c>
      <c r="CD2" s="29">
        <f>Dateneingabe!G41</f>
        <v>0</v>
      </c>
      <c r="CE2" s="29">
        <f>Dateneingabe!H41</f>
        <v>0</v>
      </c>
      <c r="CF2" s="124">
        <f>Dateneingabe!I42</f>
        <v>0</v>
      </c>
      <c r="CG2" s="124">
        <f>Dateneingabe!I43</f>
        <v>0</v>
      </c>
      <c r="CH2" s="39">
        <f>Dateneingabe!N43</f>
        <v>0</v>
      </c>
      <c r="CI2" s="39">
        <f>Dateneingabe!P43</f>
        <v>0</v>
      </c>
      <c r="CJ2" s="39">
        <f>Dateneingabe!R43</f>
        <v>0</v>
      </c>
      <c r="CK2" s="39">
        <f>Dateneingabe!S43</f>
        <v>0</v>
      </c>
      <c r="CL2" s="39">
        <f>Dateneingabe!G46</f>
        <v>0</v>
      </c>
      <c r="CM2" s="29">
        <f>Dateneingabe!H46</f>
        <v>0</v>
      </c>
      <c r="CN2" s="39">
        <f>Dateneingabe!I48</f>
        <v>0</v>
      </c>
      <c r="CO2" s="39">
        <f>Dateneingabe!N48</f>
        <v>0</v>
      </c>
      <c r="CP2" s="39">
        <f>Dateneingabe!P48</f>
        <v>0</v>
      </c>
      <c r="CQ2" s="39">
        <f>Dateneingabe!R48</f>
        <v>0</v>
      </c>
      <c r="CR2" s="39">
        <f>Dateneingabe!T48</f>
        <v>0</v>
      </c>
      <c r="CS2" s="39">
        <f>Dateneingabe!C55</f>
        <v>0</v>
      </c>
      <c r="CT2" s="29">
        <f>Dateneingabe!G53</f>
        <v>0</v>
      </c>
      <c r="CU2" s="29">
        <f>Dateneingabe!H53</f>
        <v>0</v>
      </c>
      <c r="CV2" s="39">
        <f>Dateneingabe!G55</f>
        <v>0</v>
      </c>
      <c r="CW2" s="39">
        <f>Dateneingabe!H55</f>
        <v>0</v>
      </c>
      <c r="CX2" s="39">
        <f>Dateneingabe!N55</f>
        <v>0</v>
      </c>
      <c r="CY2" s="39">
        <f>Dateneingabe!P55</f>
        <v>0</v>
      </c>
      <c r="CZ2" s="39">
        <f>Dateneingabe!R55</f>
        <v>0</v>
      </c>
      <c r="DA2" s="39">
        <f>Dateneingabe!T55</f>
        <v>0</v>
      </c>
      <c r="DB2" s="39">
        <f>Dateneingabe!C59</f>
        <v>0</v>
      </c>
      <c r="DC2" s="29">
        <f>Dateneingabe!G57</f>
        <v>0</v>
      </c>
      <c r="DD2" s="29">
        <f>Dateneingabe!H57</f>
        <v>0</v>
      </c>
      <c r="DE2" s="39">
        <f>Dateneingabe!G59</f>
        <v>0</v>
      </c>
      <c r="DF2" s="39">
        <f>Dateneingabe!H59</f>
        <v>0</v>
      </c>
      <c r="DG2" s="39">
        <f>Dateneingabe!N59</f>
        <v>0</v>
      </c>
      <c r="DH2" s="39">
        <f>Dateneingabe!P59</f>
        <v>0</v>
      </c>
      <c r="DI2" s="39">
        <f>Dateneingabe!R59</f>
        <v>0</v>
      </c>
      <c r="DJ2" s="39">
        <f>Dateneingabe!T59</f>
        <v>0</v>
      </c>
      <c r="DK2" s="29">
        <f>Dateneingabe!C63</f>
        <v>0</v>
      </c>
      <c r="DL2" s="29">
        <f>Dateneingabe!G61</f>
        <v>0</v>
      </c>
      <c r="DM2" s="29">
        <f>Dateneingabe!H61</f>
        <v>0</v>
      </c>
      <c r="DN2" s="39">
        <f>Dateneingabe!G63</f>
        <v>0</v>
      </c>
      <c r="DO2" s="39">
        <f>Dateneingabe!H63</f>
        <v>0</v>
      </c>
      <c r="DP2" s="39">
        <f>Dateneingabe!N63</f>
        <v>0</v>
      </c>
      <c r="DQ2" s="39">
        <f>Dateneingabe!P63</f>
        <v>0</v>
      </c>
      <c r="DR2" s="39">
        <f>Dateneingabe!R63</f>
        <v>0</v>
      </c>
      <c r="DS2" s="39">
        <f>Dateneingabe!T63</f>
        <v>0</v>
      </c>
      <c r="DT2" s="29">
        <f>Dateneingabe!C67</f>
        <v>0</v>
      </c>
      <c r="DU2" s="29">
        <f>Dateneingabe!G65</f>
        <v>0</v>
      </c>
      <c r="DV2" s="29">
        <f>Dateneingabe!H65</f>
        <v>0</v>
      </c>
      <c r="DW2" s="39">
        <f>Dateneingabe!G67</f>
        <v>0</v>
      </c>
      <c r="DX2" s="39">
        <f>Dateneingabe!H67</f>
        <v>0</v>
      </c>
      <c r="DY2" s="39">
        <f>Dateneingabe!N67</f>
        <v>0</v>
      </c>
      <c r="DZ2" s="39">
        <f>Dateneingabe!P67</f>
        <v>0</v>
      </c>
      <c r="EA2" s="39">
        <f>Dateneingabe!R67</f>
        <v>0</v>
      </c>
      <c r="EB2" s="39">
        <f>Dateneingabe!T67</f>
        <v>0</v>
      </c>
      <c r="EC2" s="29">
        <f>Dateneingabe!C71</f>
        <v>0</v>
      </c>
      <c r="ED2" s="29">
        <f>Dateneingabe!G69</f>
        <v>0</v>
      </c>
      <c r="EE2" s="29">
        <f>Dateneingabe!H69</f>
        <v>0</v>
      </c>
      <c r="EF2" s="39">
        <f>Dateneingabe!G71</f>
        <v>0</v>
      </c>
      <c r="EG2" s="39">
        <f>Dateneingabe!H71</f>
        <v>0</v>
      </c>
      <c r="EH2" s="39">
        <f>Dateneingabe!N71</f>
        <v>0</v>
      </c>
      <c r="EI2" s="39">
        <f>Dateneingabe!P71</f>
        <v>0</v>
      </c>
      <c r="EJ2" s="39">
        <f>Dateneingabe!R71</f>
        <v>0</v>
      </c>
      <c r="EK2" s="39">
        <f>Dateneingabe!T71</f>
        <v>0</v>
      </c>
      <c r="EL2" s="39" t="e">
        <f>#REF!</f>
        <v>#REF!</v>
      </c>
      <c r="EM2" s="39" t="e">
        <f>#REF!</f>
        <v>#REF!</v>
      </c>
      <c r="EN2" s="39" t="e">
        <f>#REF!</f>
        <v>#REF!</v>
      </c>
      <c r="EO2" s="39" t="e">
        <f>#REF!</f>
        <v>#REF!</v>
      </c>
      <c r="EP2" s="39" t="e">
        <f>#REF!</f>
        <v>#REF!</v>
      </c>
      <c r="EQ2" s="39" t="e">
        <f>#REF!</f>
        <v>#REF!</v>
      </c>
      <c r="ER2" s="39" t="e">
        <f>#REF!</f>
        <v>#REF!</v>
      </c>
      <c r="ES2" s="39" t="e">
        <f>#REF!</f>
        <v>#REF!</v>
      </c>
      <c r="ET2" s="39" t="e">
        <f>#REF!</f>
        <v>#REF!</v>
      </c>
      <c r="EU2" s="39" t="e">
        <f>#REF!</f>
        <v>#REF!</v>
      </c>
      <c r="EV2" s="29" t="e">
        <f>#REF!</f>
        <v>#REF!</v>
      </c>
      <c r="EW2" s="29" t="e">
        <f>#REF!</f>
        <v>#REF!</v>
      </c>
      <c r="EX2" s="39" t="e">
        <f>#REF!</f>
        <v>#REF!</v>
      </c>
      <c r="EY2" s="39" t="e">
        <f>#REF!</f>
        <v>#REF!</v>
      </c>
      <c r="EZ2" s="39" t="e">
        <f>#REF!</f>
        <v>#REF!</v>
      </c>
      <c r="FA2" s="39" t="e">
        <f>#REF!</f>
        <v>#REF!</v>
      </c>
      <c r="FB2" s="125" t="e">
        <f>#REF!</f>
        <v>#REF!</v>
      </c>
      <c r="FC2" s="29" t="e">
        <f>#REF!</f>
        <v>#REF!</v>
      </c>
      <c r="FD2" s="126" t="e">
        <f>#REF!</f>
        <v>#REF!</v>
      </c>
      <c r="FE2" s="29" t="e">
        <f>#REF!</f>
        <v>#REF!</v>
      </c>
      <c r="FF2" s="29" t="e">
        <f>#REF!</f>
        <v>#REF!</v>
      </c>
      <c r="FG2" s="29" t="e">
        <f>#REF!</f>
        <v>#REF!</v>
      </c>
    </row>
    <row r="3" spans="1:163" x14ac:dyDescent="0.3">
      <c r="EU3" s="4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Erklärung</vt:lpstr>
      <vt:lpstr>Dateneingabe</vt:lpstr>
      <vt:lpstr>Ausdruck 1</vt:lpstr>
      <vt:lpstr>OS</vt:lpstr>
      <vt:lpstr>Daten 2021</vt:lpstr>
      <vt:lpstr>Zusammenfassung</vt:lpstr>
      <vt:lpstr>'Ausdruck 1'!Druckbereich</vt:lpstr>
      <vt:lpstr>Dateneingabe!Druckbereich</vt:lpstr>
      <vt:lpstr>'Ausdruck 1'!E_Code</vt:lpstr>
      <vt:lpstr>E_Code</vt:lpstr>
    </vt:vector>
  </TitlesOfParts>
  <Company>OEAD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Erasmus+ Zwischenbericht HB</dc:title>
  <dc:creator>Elmar Harringer</dc:creator>
  <cp:lastModifiedBy>Harringer, Elmar</cp:lastModifiedBy>
  <cp:lastPrinted>2022-08-01T08:56:31Z</cp:lastPrinted>
  <dcterms:created xsi:type="dcterms:W3CDTF">2009-09-25T11:55:55Z</dcterms:created>
  <dcterms:modified xsi:type="dcterms:W3CDTF">2022-10-05T10:55:46Z</dcterms:modified>
</cp:coreProperties>
</file>